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ohhe\Documents\Codex\2026-10-05\create-a-new-site-with-sites-9\outputs\net-worth-launch\release-candidates\"/>
    </mc:Choice>
  </mc:AlternateContent>
  <xr:revisionPtr revIDLastSave="0" documentId="11_DD052B1FDDDA62671870F141C99AF343D44B0F69" xr6:coauthVersionLast="47" xr6:coauthVersionMax="47" xr10:uidLastSave="{00000000-0000-0000-0000-000000000000}"/>
  <bookViews>
    <workbookView xWindow="1520" yWindow="1520" windowWidth="14400" windowHeight="7890" xr2:uid="{00000000-000D-0000-FFFF-FFFF00000000}"/>
  </bookViews>
  <sheets>
    <sheet name="Start Here" sheetId="1" r:id="rId1"/>
    <sheet name="My Finances" sheetId="2" r:id="rId2"/>
    <sheet name="Dashboard" sheetId="3" r:id="rId3"/>
  </sheets>
  <definedNames>
    <definedName name="_xlnm.Print_Area" localSheetId="2">Dashboard!$B$5:$O$82</definedName>
    <definedName name="_xlnm.Print_Area" localSheetId="1">'My Finances'!$B$5:$BL$88</definedName>
    <definedName name="_xlnm.Print_Area" localSheetId="0">'Start Here'!$B$1:$K$18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 i="3" l="1"/>
  <c r="BL391" i="2"/>
  <c r="BK391" i="2"/>
  <c r="BJ391" i="2"/>
  <c r="BI391" i="2"/>
  <c r="BH391" i="2"/>
  <c r="BG391" i="2"/>
  <c r="BF391" i="2"/>
  <c r="BE391" i="2"/>
  <c r="BD391" i="2"/>
  <c r="BC391" i="2"/>
  <c r="BB391" i="2"/>
  <c r="BA391" i="2"/>
  <c r="AZ391" i="2"/>
  <c r="AY391" i="2"/>
  <c r="AX391" i="2"/>
  <c r="AW391" i="2"/>
  <c r="AV391" i="2"/>
  <c r="AU391" i="2"/>
  <c r="AT391" i="2"/>
  <c r="AS391" i="2"/>
  <c r="AR391" i="2"/>
  <c r="AQ391" i="2"/>
  <c r="AP391" i="2"/>
  <c r="AO391" i="2"/>
  <c r="AN391" i="2"/>
  <c r="AM391" i="2"/>
  <c r="AL391" i="2"/>
  <c r="AK391" i="2"/>
  <c r="AJ391" i="2"/>
  <c r="AI391" i="2"/>
  <c r="AH391" i="2"/>
  <c r="AG391" i="2"/>
  <c r="AF391" i="2"/>
  <c r="AE391" i="2"/>
  <c r="AD391" i="2"/>
  <c r="AC391" i="2"/>
  <c r="AB391" i="2"/>
  <c r="AA391" i="2"/>
  <c r="Z391" i="2"/>
  <c r="Y391" i="2"/>
  <c r="X391" i="2"/>
  <c r="W391" i="2"/>
  <c r="V391" i="2"/>
  <c r="U391" i="2"/>
  <c r="T391" i="2"/>
  <c r="S391" i="2"/>
  <c r="R391" i="2"/>
  <c r="Q391" i="2"/>
  <c r="P391" i="2"/>
  <c r="O391" i="2"/>
  <c r="N391" i="2"/>
  <c r="M391" i="2"/>
  <c r="L391" i="2"/>
  <c r="K391" i="2"/>
  <c r="J391" i="2"/>
  <c r="I391" i="2"/>
  <c r="H391" i="2"/>
  <c r="G391" i="2"/>
  <c r="F391" i="2"/>
  <c r="F382" i="2" s="1"/>
  <c r="E391" i="2"/>
  <c r="E382" i="2" s="1"/>
  <c r="BL389" i="2"/>
  <c r="BK389" i="2"/>
  <c r="BJ389" i="2"/>
  <c r="BI389" i="2"/>
  <c r="BH389" i="2"/>
  <c r="BG389" i="2"/>
  <c r="BF389" i="2"/>
  <c r="BE389" i="2"/>
  <c r="BD389" i="2"/>
  <c r="BC389" i="2"/>
  <c r="BB389" i="2"/>
  <c r="BA389" i="2"/>
  <c r="AZ389" i="2"/>
  <c r="AY389" i="2"/>
  <c r="AX389" i="2"/>
  <c r="AW389" i="2"/>
  <c r="AV389" i="2"/>
  <c r="AU389" i="2"/>
  <c r="AT389" i="2"/>
  <c r="AS389" i="2"/>
  <c r="AR389" i="2"/>
  <c r="AQ389" i="2"/>
  <c r="AP389" i="2"/>
  <c r="AO389" i="2"/>
  <c r="AN389" i="2"/>
  <c r="AM389" i="2"/>
  <c r="AL389" i="2"/>
  <c r="AK389" i="2"/>
  <c r="AJ389" i="2"/>
  <c r="AI389" i="2"/>
  <c r="AH389" i="2"/>
  <c r="AG389" i="2"/>
  <c r="AF389" i="2"/>
  <c r="AE389" i="2"/>
  <c r="AD389" i="2"/>
  <c r="AC389" i="2"/>
  <c r="AB389" i="2"/>
  <c r="AA389" i="2"/>
  <c r="Z389" i="2"/>
  <c r="Y389" i="2"/>
  <c r="X389" i="2"/>
  <c r="W389" i="2"/>
  <c r="V389" i="2"/>
  <c r="U389" i="2"/>
  <c r="T389" i="2"/>
  <c r="S389" i="2"/>
  <c r="R389" i="2"/>
  <c r="Q389" i="2"/>
  <c r="P389" i="2"/>
  <c r="O389" i="2"/>
  <c r="N389" i="2"/>
  <c r="M389" i="2"/>
  <c r="L389" i="2"/>
  <c r="K389" i="2"/>
  <c r="J389" i="2"/>
  <c r="I389" i="2"/>
  <c r="H389" i="2"/>
  <c r="G389" i="2"/>
  <c r="F389" i="2"/>
  <c r="E389" i="2"/>
  <c r="BL388" i="2"/>
  <c r="BK388" i="2"/>
  <c r="BJ388" i="2"/>
  <c r="BI388" i="2"/>
  <c r="BH388" i="2"/>
  <c r="BG388" i="2"/>
  <c r="BF388" i="2"/>
  <c r="BE388" i="2"/>
  <c r="BD388" i="2"/>
  <c r="BC388" i="2"/>
  <c r="BB388" i="2"/>
  <c r="BA388" i="2"/>
  <c r="AZ388" i="2"/>
  <c r="AY388" i="2"/>
  <c r="AX388" i="2"/>
  <c r="AW388" i="2"/>
  <c r="AV388" i="2"/>
  <c r="AU388" i="2"/>
  <c r="AT388" i="2"/>
  <c r="AS388" i="2"/>
  <c r="AR388" i="2"/>
  <c r="AQ388" i="2"/>
  <c r="AP388" i="2"/>
  <c r="AO388" i="2"/>
  <c r="AN388" i="2"/>
  <c r="AM388" i="2"/>
  <c r="AL388" i="2"/>
  <c r="AK388" i="2"/>
  <c r="AJ388" i="2"/>
  <c r="AI388" i="2"/>
  <c r="AH388" i="2"/>
  <c r="AG388" i="2"/>
  <c r="AF388" i="2"/>
  <c r="AE388" i="2"/>
  <c r="AD388" i="2"/>
  <c r="AC388" i="2"/>
  <c r="AB388" i="2"/>
  <c r="AA388" i="2"/>
  <c r="Z388" i="2"/>
  <c r="Y388" i="2"/>
  <c r="X388" i="2"/>
  <c r="W388" i="2"/>
  <c r="V388" i="2"/>
  <c r="U388" i="2"/>
  <c r="T388" i="2"/>
  <c r="S388" i="2"/>
  <c r="R388" i="2"/>
  <c r="Q388" i="2"/>
  <c r="P388" i="2"/>
  <c r="O388" i="2"/>
  <c r="N388" i="2"/>
  <c r="M388" i="2"/>
  <c r="L388" i="2"/>
  <c r="K388" i="2"/>
  <c r="J388" i="2"/>
  <c r="I388" i="2"/>
  <c r="H388" i="2"/>
  <c r="G388" i="2"/>
  <c r="F388" i="2"/>
  <c r="E388" i="2"/>
  <c r="BL387" i="2"/>
  <c r="BK387" i="2"/>
  <c r="BJ387" i="2"/>
  <c r="BI387" i="2"/>
  <c r="BH387" i="2"/>
  <c r="BG387" i="2"/>
  <c r="BF387" i="2"/>
  <c r="BE387" i="2"/>
  <c r="BD387" i="2"/>
  <c r="BC387" i="2"/>
  <c r="BB387" i="2"/>
  <c r="BA387" i="2"/>
  <c r="AZ387" i="2"/>
  <c r="AY387" i="2"/>
  <c r="AX387" i="2"/>
  <c r="AW387" i="2"/>
  <c r="AV387" i="2"/>
  <c r="AU387" i="2"/>
  <c r="AT387" i="2"/>
  <c r="AS387" i="2"/>
  <c r="AR387" i="2"/>
  <c r="AQ387" i="2"/>
  <c r="AP387" i="2"/>
  <c r="AO387" i="2"/>
  <c r="AN387" i="2"/>
  <c r="AM387" i="2"/>
  <c r="AL387" i="2"/>
  <c r="AK387" i="2"/>
  <c r="AJ387" i="2"/>
  <c r="AI387" i="2"/>
  <c r="AH387" i="2"/>
  <c r="AG387" i="2"/>
  <c r="AF387" i="2"/>
  <c r="AE387" i="2"/>
  <c r="AD387" i="2"/>
  <c r="AC387" i="2"/>
  <c r="AB387" i="2"/>
  <c r="AA387" i="2"/>
  <c r="Z387" i="2"/>
  <c r="Y387" i="2"/>
  <c r="X387" i="2"/>
  <c r="W387" i="2"/>
  <c r="V387" i="2"/>
  <c r="U387" i="2"/>
  <c r="T387" i="2"/>
  <c r="S387" i="2"/>
  <c r="R387" i="2"/>
  <c r="Q387" i="2"/>
  <c r="P387" i="2"/>
  <c r="O387" i="2"/>
  <c r="N387" i="2"/>
  <c r="M387" i="2"/>
  <c r="L387" i="2"/>
  <c r="K387" i="2"/>
  <c r="J387" i="2"/>
  <c r="I387" i="2"/>
  <c r="H387" i="2"/>
  <c r="G387" i="2"/>
  <c r="F387" i="2"/>
  <c r="E387" i="2"/>
  <c r="Q4" i="3" s="1"/>
  <c r="B7" i="3" s="1"/>
  <c r="E385" i="2"/>
  <c r="BL383" i="2"/>
  <c r="BL384" i="2" s="1"/>
  <c r="BK383" i="2"/>
  <c r="BK384" i="2" s="1"/>
  <c r="BJ383" i="2"/>
  <c r="BJ384" i="2" s="1"/>
  <c r="BI383" i="2"/>
  <c r="BI384" i="2" s="1"/>
  <c r="BH383" i="2"/>
  <c r="BH384" i="2" s="1"/>
  <c r="BG383" i="2"/>
  <c r="BG384" i="2" s="1"/>
  <c r="BF383" i="2"/>
  <c r="BF384" i="2" s="1"/>
  <c r="BE383" i="2"/>
  <c r="BE384" i="2" s="1"/>
  <c r="BD383" i="2"/>
  <c r="BD384" i="2" s="1"/>
  <c r="BC383" i="2"/>
  <c r="BC384" i="2" s="1"/>
  <c r="BB383" i="2"/>
  <c r="BB384" i="2" s="1"/>
  <c r="BA383" i="2"/>
  <c r="BA384" i="2" s="1"/>
  <c r="AZ383" i="2"/>
  <c r="AZ384" i="2" s="1"/>
  <c r="AY383" i="2"/>
  <c r="AY384" i="2" s="1"/>
  <c r="AX383" i="2"/>
  <c r="AX384" i="2" s="1"/>
  <c r="AW383" i="2"/>
  <c r="AW384" i="2" s="1"/>
  <c r="AV383" i="2"/>
  <c r="AV384" i="2" s="1"/>
  <c r="AU383" i="2"/>
  <c r="AU384" i="2" s="1"/>
  <c r="AT383" i="2"/>
  <c r="AT384" i="2" s="1"/>
  <c r="AS383" i="2"/>
  <c r="AS384" i="2" s="1"/>
  <c r="AR383" i="2"/>
  <c r="AR384" i="2" s="1"/>
  <c r="AQ383" i="2"/>
  <c r="AQ384" i="2" s="1"/>
  <c r="AP383" i="2"/>
  <c r="AP384" i="2" s="1"/>
  <c r="AO383" i="2"/>
  <c r="AO384" i="2" s="1"/>
  <c r="AN383" i="2"/>
  <c r="AN384" i="2" s="1"/>
  <c r="AM383" i="2"/>
  <c r="AM384" i="2" s="1"/>
  <c r="AL383" i="2"/>
  <c r="AL384" i="2" s="1"/>
  <c r="AK383" i="2"/>
  <c r="AK384" i="2" s="1"/>
  <c r="AJ383" i="2"/>
  <c r="AJ384" i="2" s="1"/>
  <c r="AI383" i="2"/>
  <c r="AI384" i="2" s="1"/>
  <c r="AH383" i="2"/>
  <c r="AH384" i="2" s="1"/>
  <c r="AG383" i="2"/>
  <c r="AG384" i="2" s="1"/>
  <c r="AF383" i="2"/>
  <c r="AF384" i="2" s="1"/>
  <c r="AE383" i="2"/>
  <c r="AE384" i="2" s="1"/>
  <c r="AD383" i="2"/>
  <c r="AD384" i="2" s="1"/>
  <c r="AC383" i="2"/>
  <c r="AC384" i="2" s="1"/>
  <c r="AB383" i="2"/>
  <c r="AB384" i="2" s="1"/>
  <c r="AA383" i="2"/>
  <c r="AA384" i="2" s="1"/>
  <c r="Z383" i="2"/>
  <c r="Z384" i="2" s="1"/>
  <c r="Y383" i="2"/>
  <c r="Y384" i="2" s="1"/>
  <c r="X383" i="2"/>
  <c r="X384" i="2" s="1"/>
  <c r="W383" i="2"/>
  <c r="W384" i="2" s="1"/>
  <c r="V383" i="2"/>
  <c r="V384" i="2" s="1"/>
  <c r="U383" i="2"/>
  <c r="U384" i="2" s="1"/>
  <c r="T383" i="2"/>
  <c r="T384" i="2" s="1"/>
  <c r="S383" i="2"/>
  <c r="S384" i="2" s="1"/>
  <c r="R383" i="2"/>
  <c r="R384" i="2" s="1"/>
  <c r="Q383" i="2"/>
  <c r="Q384" i="2" s="1"/>
  <c r="P383" i="2"/>
  <c r="P384" i="2" s="1"/>
  <c r="O383" i="2"/>
  <c r="O384" i="2" s="1"/>
  <c r="N383" i="2"/>
  <c r="N384" i="2" s="1"/>
  <c r="M383" i="2"/>
  <c r="M384" i="2" s="1"/>
  <c r="L383" i="2"/>
  <c r="L384" i="2" s="1"/>
  <c r="K383" i="2"/>
  <c r="K384" i="2" s="1"/>
  <c r="J383" i="2"/>
  <c r="J384" i="2" s="1"/>
  <c r="I383" i="2"/>
  <c r="I384" i="2" s="1"/>
  <c r="H383" i="2"/>
  <c r="H384" i="2" s="1"/>
  <c r="G383" i="2"/>
  <c r="G384" i="2" s="1"/>
  <c r="F383" i="2"/>
  <c r="F384" i="2" s="1"/>
  <c r="E383" i="2"/>
  <c r="E384" i="2" s="1"/>
  <c r="BL381" i="2"/>
  <c r="BK381" i="2"/>
  <c r="BJ381" i="2"/>
  <c r="BI381" i="2"/>
  <c r="BH381" i="2"/>
  <c r="BG381" i="2"/>
  <c r="BF381" i="2"/>
  <c r="BE381" i="2"/>
  <c r="BD381" i="2"/>
  <c r="BC381" i="2"/>
  <c r="BB381" i="2"/>
  <c r="BA381" i="2"/>
  <c r="AZ381" i="2"/>
  <c r="AY381" i="2"/>
  <c r="AX381" i="2"/>
  <c r="AW381" i="2"/>
  <c r="AV381" i="2"/>
  <c r="AU381" i="2"/>
  <c r="AT381" i="2"/>
  <c r="AS381" i="2"/>
  <c r="AR381" i="2"/>
  <c r="AQ381" i="2"/>
  <c r="AP381" i="2"/>
  <c r="AO381" i="2"/>
  <c r="AN381" i="2"/>
  <c r="AM381" i="2"/>
  <c r="AL381" i="2"/>
  <c r="AK381" i="2"/>
  <c r="AJ381" i="2"/>
  <c r="AI381" i="2"/>
  <c r="AH381" i="2"/>
  <c r="AG381" i="2"/>
  <c r="AF381" i="2"/>
  <c r="AE381" i="2"/>
  <c r="AD381" i="2"/>
  <c r="AC381" i="2"/>
  <c r="AB381" i="2"/>
  <c r="AA381" i="2"/>
  <c r="Z381" i="2"/>
  <c r="Y381" i="2"/>
  <c r="X381" i="2"/>
  <c r="W381" i="2"/>
  <c r="V381" i="2"/>
  <c r="U381" i="2"/>
  <c r="T381" i="2"/>
  <c r="S381" i="2"/>
  <c r="R381" i="2"/>
  <c r="Q381" i="2"/>
  <c r="P381" i="2"/>
  <c r="O381" i="2"/>
  <c r="N381" i="2"/>
  <c r="M381" i="2"/>
  <c r="L381" i="2"/>
  <c r="K381" i="2"/>
  <c r="J381" i="2"/>
  <c r="I381" i="2"/>
  <c r="H381" i="2"/>
  <c r="G381" i="2"/>
  <c r="F381" i="2"/>
  <c r="E381" i="2"/>
  <c r="E323" i="2" s="1"/>
  <c r="BS251" i="2"/>
  <c r="BS250" i="2"/>
  <c r="BS249" i="2"/>
  <c r="BS248" i="2"/>
  <c r="BS247" i="2"/>
  <c r="BS246" i="2"/>
  <c r="BS245" i="2"/>
  <c r="BS244" i="2"/>
  <c r="BS243" i="2"/>
  <c r="BS242" i="2"/>
  <c r="BS241" i="2"/>
  <c r="BS240" i="2"/>
  <c r="BS239" i="2"/>
  <c r="BS238" i="2"/>
  <c r="BS237" i="2"/>
  <c r="BS236" i="2"/>
  <c r="BS235" i="2"/>
  <c r="BS234" i="2"/>
  <c r="BS233" i="2"/>
  <c r="BS232" i="2"/>
  <c r="BS231" i="2"/>
  <c r="BS230" i="2"/>
  <c r="BS229" i="2"/>
  <c r="BS228" i="2"/>
  <c r="BS227" i="2"/>
  <c r="BS223" i="2"/>
  <c r="BS222" i="2"/>
  <c r="BS221" i="2"/>
  <c r="BS220" i="2"/>
  <c r="BS219" i="2"/>
  <c r="BS218" i="2"/>
  <c r="BS217" i="2"/>
  <c r="BS216" i="2"/>
  <c r="BS212" i="2"/>
  <c r="BS211" i="2"/>
  <c r="BS208" i="2"/>
  <c r="BS206" i="2"/>
  <c r="BS205" i="2"/>
  <c r="BS204" i="2"/>
  <c r="BS201" i="2"/>
  <c r="BS200" i="2"/>
  <c r="BS198" i="2"/>
  <c r="BS197" i="2"/>
  <c r="BS194" i="2"/>
  <c r="BS193" i="2"/>
  <c r="BS192" i="2"/>
  <c r="BS191" i="2"/>
  <c r="BS188" i="2"/>
  <c r="BS187" i="2"/>
  <c r="BS186" i="2"/>
  <c r="BS185" i="2"/>
  <c r="BS184" i="2"/>
  <c r="F10" i="2"/>
  <c r="G10" i="2" s="1"/>
  <c r="H10" i="2" s="1"/>
  <c r="I10" i="2" s="1"/>
  <c r="J10" i="2" s="1"/>
  <c r="K10" i="2" s="1"/>
  <c r="L10" i="2" s="1"/>
  <c r="M10" i="2" s="1"/>
  <c r="N10" i="2" s="1"/>
  <c r="O10" i="2" s="1"/>
  <c r="P10" i="2" s="1"/>
  <c r="Q10" i="2" s="1"/>
  <c r="R10" i="2" s="1"/>
  <c r="S10" i="2" s="1"/>
  <c r="T10" i="2" s="1"/>
  <c r="U10" i="2" s="1"/>
  <c r="V10" i="2" s="1"/>
  <c r="W10" i="2" s="1"/>
  <c r="X10" i="2" s="1"/>
  <c r="Y10" i="2" s="1"/>
  <c r="Z10" i="2" s="1"/>
  <c r="AA10" i="2" s="1"/>
  <c r="AB10" i="2" s="1"/>
  <c r="AC10" i="2" s="1"/>
  <c r="AD10" i="2" s="1"/>
  <c r="AE10" i="2" s="1"/>
  <c r="AF10" i="2" s="1"/>
  <c r="AG10" i="2" s="1"/>
  <c r="AH10" i="2" s="1"/>
  <c r="AI10" i="2" s="1"/>
  <c r="AJ10" i="2" s="1"/>
  <c r="AK10" i="2" s="1"/>
  <c r="AL10" i="2" s="1"/>
  <c r="AM10" i="2" s="1"/>
  <c r="AN10" i="2" s="1"/>
  <c r="E324" i="2" l="1"/>
  <c r="E325" i="2"/>
  <c r="E326" i="2"/>
  <c r="E327" i="2"/>
  <c r="E328" i="2"/>
  <c r="E329" i="2"/>
  <c r="E330" i="2"/>
  <c r="E331" i="2"/>
  <c r="E332" i="2"/>
  <c r="E333" i="2"/>
  <c r="E334" i="2"/>
  <c r="E335" i="2"/>
  <c r="E336" i="2"/>
  <c r="E337" i="2"/>
  <c r="E338" i="2"/>
  <c r="E339" i="2"/>
  <c r="E340" i="2"/>
  <c r="E341" i="2"/>
  <c r="E342" i="2"/>
  <c r="E343" i="2"/>
  <c r="E344" i="2"/>
  <c r="E345" i="2"/>
  <c r="E346" i="2"/>
  <c r="E347" i="2"/>
  <c r="E348" i="2"/>
  <c r="F380" i="2"/>
  <c r="F385" i="2" s="1"/>
  <c r="F323" i="2" s="1"/>
  <c r="E386" i="2"/>
  <c r="F386" i="2"/>
  <c r="BQ9" i="2"/>
  <c r="E86" i="2"/>
  <c r="E87" i="2"/>
  <c r="AO10" i="2"/>
  <c r="AN382" i="2"/>
  <c r="H382" i="2"/>
  <c r="AM382" i="2"/>
  <c r="AK382" i="2"/>
  <c r="AI382" i="2"/>
  <c r="AH382" i="2"/>
  <c r="AG382" i="2"/>
  <c r="AC382" i="2"/>
  <c r="AA382" i="2"/>
  <c r="X382" i="2"/>
  <c r="W382" i="2"/>
  <c r="S382" i="2"/>
  <c r="N382" i="2"/>
  <c r="K382" i="2"/>
  <c r="AJ382" i="2"/>
  <c r="AD382" i="2"/>
  <c r="Y382" i="2"/>
  <c r="V382" i="2"/>
  <c r="R382" i="2"/>
  <c r="M382" i="2"/>
  <c r="G382" i="2"/>
  <c r="AB382" i="2"/>
  <c r="P382" i="2"/>
  <c r="I382" i="2"/>
  <c r="AL382" i="2"/>
  <c r="AE382" i="2"/>
  <c r="Z382" i="2"/>
  <c r="U382" i="2"/>
  <c r="Q382" i="2"/>
  <c r="L382" i="2"/>
  <c r="AF382" i="2"/>
  <c r="T382" i="2"/>
  <c r="O382" i="2"/>
  <c r="J382" i="2"/>
  <c r="F87" i="2" l="1"/>
  <c r="F86" i="2"/>
  <c r="BQ10" i="2"/>
  <c r="G380" i="2"/>
  <c r="G385" i="2" s="1"/>
  <c r="G323" i="2" s="1"/>
  <c r="F348" i="2"/>
  <c r="F347" i="2"/>
  <c r="F346" i="2"/>
  <c r="F345" i="2"/>
  <c r="F344" i="2"/>
  <c r="F343" i="2"/>
  <c r="F342" i="2"/>
  <c r="F341" i="2"/>
  <c r="F340" i="2"/>
  <c r="F339" i="2"/>
  <c r="F338" i="2"/>
  <c r="F337" i="2"/>
  <c r="F336" i="2"/>
  <c r="F335" i="2"/>
  <c r="F334" i="2"/>
  <c r="F333" i="2"/>
  <c r="F332" i="2"/>
  <c r="F331" i="2"/>
  <c r="F330" i="2"/>
  <c r="F329" i="2"/>
  <c r="F328" i="2"/>
  <c r="F327" i="2"/>
  <c r="F326" i="2"/>
  <c r="F325" i="2"/>
  <c r="F324" i="2"/>
  <c r="AP10" i="2"/>
  <c r="AO382" i="2"/>
  <c r="G87" i="2"/>
  <c r="G86" i="2"/>
  <c r="BQ11" i="2"/>
  <c r="H380" i="2"/>
  <c r="H385" i="2" s="1"/>
  <c r="H323" i="2" s="1"/>
  <c r="G348" i="2"/>
  <c r="G347" i="2"/>
  <c r="G346" i="2"/>
  <c r="G345" i="2"/>
  <c r="G344" i="2"/>
  <c r="G343" i="2"/>
  <c r="G342" i="2"/>
  <c r="G341" i="2"/>
  <c r="G340" i="2"/>
  <c r="G339" i="2"/>
  <c r="G338" i="2"/>
  <c r="G337" i="2"/>
  <c r="G336" i="2"/>
  <c r="G335" i="2"/>
  <c r="G334" i="2"/>
  <c r="G333" i="2"/>
  <c r="G332" i="2"/>
  <c r="G331" i="2"/>
  <c r="G330" i="2"/>
  <c r="G329" i="2"/>
  <c r="G328" i="2"/>
  <c r="G327" i="2"/>
  <c r="G326" i="2"/>
  <c r="G325" i="2"/>
  <c r="G324" i="2"/>
  <c r="H386" i="2" l="1"/>
  <c r="G386" i="2"/>
  <c r="AQ10" i="2"/>
  <c r="AP382"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I380" i="2"/>
  <c r="I385" i="2" s="1"/>
  <c r="I323" i="2" s="1"/>
  <c r="BQ12" i="2"/>
  <c r="H86" i="2"/>
  <c r="H87" i="2"/>
  <c r="AR10" i="2" l="1"/>
  <c r="AQ382" i="2"/>
  <c r="I386"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J380" i="2"/>
  <c r="J385" i="2" s="1"/>
  <c r="J323" i="2" s="1"/>
  <c r="BQ13" i="2"/>
  <c r="I86" i="2"/>
  <c r="I87" i="2"/>
  <c r="AR382" i="2" l="1"/>
  <c r="AS10" i="2"/>
  <c r="J386"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K380" i="2"/>
  <c r="K385" i="2" s="1"/>
  <c r="K323" i="2" s="1"/>
  <c r="BQ14" i="2"/>
  <c r="J86" i="2"/>
  <c r="J87" i="2"/>
  <c r="K386" i="2"/>
  <c r="AT10" i="2" l="1"/>
  <c r="AS382"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L380" i="2"/>
  <c r="L385" i="2" s="1"/>
  <c r="L323" i="2" s="1"/>
  <c r="BQ15" i="2"/>
  <c r="K86" i="2"/>
  <c r="K87" i="2"/>
  <c r="AU10" i="2" l="1"/>
  <c r="AT382" i="2"/>
  <c r="L386"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M380" i="2"/>
  <c r="M385" i="2" s="1"/>
  <c r="M323" i="2" s="1"/>
  <c r="BQ16" i="2"/>
  <c r="L86" i="2"/>
  <c r="L87" i="2"/>
  <c r="AV10" i="2" l="1"/>
  <c r="AU382"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N380" i="2"/>
  <c r="N385" i="2" s="1"/>
  <c r="N323" i="2" s="1"/>
  <c r="BQ17" i="2"/>
  <c r="M86" i="2"/>
  <c r="M87" i="2"/>
  <c r="M386" i="2"/>
  <c r="AV382" i="2" l="1"/>
  <c r="AW10" i="2"/>
  <c r="N386"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O380" i="2"/>
  <c r="O385" i="2" s="1"/>
  <c r="O323" i="2" s="1"/>
  <c r="BQ18" i="2"/>
  <c r="N86" i="2"/>
  <c r="N87" i="2"/>
  <c r="AX10" i="2" l="1"/>
  <c r="AW382" i="2"/>
  <c r="O386" i="2"/>
  <c r="O324" i="2"/>
  <c r="O325" i="2"/>
  <c r="O326" i="2"/>
  <c r="O327" i="2"/>
  <c r="O328" i="2"/>
  <c r="O329" i="2"/>
  <c r="O330" i="2"/>
  <c r="O331" i="2"/>
  <c r="O332" i="2"/>
  <c r="O333" i="2"/>
  <c r="O334" i="2"/>
  <c r="O335" i="2"/>
  <c r="O336" i="2"/>
  <c r="O337" i="2"/>
  <c r="O338" i="2"/>
  <c r="O339" i="2"/>
  <c r="O340" i="2"/>
  <c r="O341" i="2"/>
  <c r="O342" i="2"/>
  <c r="O343" i="2"/>
  <c r="O344" i="2"/>
  <c r="O345" i="2"/>
  <c r="O346" i="2"/>
  <c r="O347" i="2"/>
  <c r="O348" i="2"/>
  <c r="P380" i="2"/>
  <c r="P385" i="2" s="1"/>
  <c r="P323" i="2" s="1"/>
  <c r="BQ19" i="2"/>
  <c r="O86" i="2"/>
  <c r="O87" i="2"/>
  <c r="AY10" i="2" l="1"/>
  <c r="AX382" i="2"/>
  <c r="P386"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Q380" i="2"/>
  <c r="Q385" i="2" s="1"/>
  <c r="Q323" i="2" s="1"/>
  <c r="BQ20" i="2"/>
  <c r="P86" i="2"/>
  <c r="P87" i="2"/>
  <c r="AZ10" i="2" l="1"/>
  <c r="AY382" i="2"/>
  <c r="Q386"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R380" i="2"/>
  <c r="R385" i="2" s="1"/>
  <c r="R323" i="2" s="1"/>
  <c r="BQ21" i="2"/>
  <c r="Q86" i="2"/>
  <c r="Q87" i="2"/>
  <c r="BA10" i="2" l="1"/>
  <c r="AZ382" i="2"/>
  <c r="R386" i="2"/>
  <c r="R324" i="2"/>
  <c r="R325" i="2"/>
  <c r="R326" i="2"/>
  <c r="R327" i="2"/>
  <c r="R328" i="2"/>
  <c r="R329" i="2"/>
  <c r="R330" i="2"/>
  <c r="R331" i="2"/>
  <c r="R332" i="2"/>
  <c r="R333" i="2"/>
  <c r="R334" i="2"/>
  <c r="R335" i="2"/>
  <c r="R336" i="2"/>
  <c r="R337" i="2"/>
  <c r="R338" i="2"/>
  <c r="R339" i="2"/>
  <c r="R340" i="2"/>
  <c r="R341" i="2"/>
  <c r="R342" i="2"/>
  <c r="R343" i="2"/>
  <c r="R344" i="2"/>
  <c r="R345" i="2"/>
  <c r="R346" i="2"/>
  <c r="R347" i="2"/>
  <c r="R348" i="2"/>
  <c r="S380" i="2"/>
  <c r="S385" i="2" s="1"/>
  <c r="S323" i="2" s="1"/>
  <c r="BQ22" i="2"/>
  <c r="R86" i="2"/>
  <c r="R87" i="2"/>
  <c r="BB10" i="2" l="1"/>
  <c r="BA382" i="2"/>
  <c r="S386" i="2"/>
  <c r="S324" i="2"/>
  <c r="S325" i="2"/>
  <c r="S326" i="2"/>
  <c r="S327" i="2"/>
  <c r="S328" i="2"/>
  <c r="S329" i="2"/>
  <c r="S330" i="2"/>
  <c r="S331" i="2"/>
  <c r="S332" i="2"/>
  <c r="S333" i="2"/>
  <c r="S334" i="2"/>
  <c r="BQ23" i="2"/>
  <c r="S335" i="2"/>
  <c r="S336" i="2"/>
  <c r="S337" i="2"/>
  <c r="S338" i="2"/>
  <c r="S339" i="2"/>
  <c r="S340" i="2"/>
  <c r="S341" i="2"/>
  <c r="S342" i="2"/>
  <c r="S343" i="2"/>
  <c r="S344" i="2"/>
  <c r="S345" i="2"/>
  <c r="S346" i="2"/>
  <c r="S347" i="2"/>
  <c r="S348" i="2"/>
  <c r="T380" i="2"/>
  <c r="T385" i="2" s="1"/>
  <c r="T323" i="2" s="1"/>
  <c r="S86" i="2"/>
  <c r="S87" i="2"/>
  <c r="BC10" i="2" l="1"/>
  <c r="BB382" i="2"/>
  <c r="T386" i="2"/>
  <c r="T324" i="2"/>
  <c r="T325" i="2"/>
  <c r="T326" i="2"/>
  <c r="T327" i="2"/>
  <c r="T328" i="2"/>
  <c r="T329" i="2"/>
  <c r="T330" i="2"/>
  <c r="T331" i="2"/>
  <c r="T332" i="2"/>
  <c r="T333" i="2"/>
  <c r="T334" i="2"/>
  <c r="BQ24" i="2"/>
  <c r="T335" i="2"/>
  <c r="T336" i="2"/>
  <c r="T337" i="2"/>
  <c r="T338" i="2"/>
  <c r="T339" i="2"/>
  <c r="T340" i="2"/>
  <c r="T341" i="2"/>
  <c r="T342" i="2"/>
  <c r="T343" i="2"/>
  <c r="T344" i="2"/>
  <c r="T345" i="2"/>
  <c r="T346" i="2"/>
  <c r="T347" i="2"/>
  <c r="T348" i="2"/>
  <c r="U380" i="2"/>
  <c r="U385" i="2" s="1"/>
  <c r="U323" i="2" s="1"/>
  <c r="T86" i="2"/>
  <c r="T87" i="2"/>
  <c r="BD10" i="2" l="1"/>
  <c r="BC382" i="2"/>
  <c r="U386" i="2"/>
  <c r="U324" i="2"/>
  <c r="U325" i="2"/>
  <c r="U326" i="2"/>
  <c r="U327" i="2"/>
  <c r="U328" i="2"/>
  <c r="U329" i="2"/>
  <c r="U330" i="2"/>
  <c r="U331" i="2"/>
  <c r="U332" i="2"/>
  <c r="U333" i="2"/>
  <c r="U334" i="2"/>
  <c r="BQ25" i="2"/>
  <c r="U335" i="2"/>
  <c r="U336" i="2"/>
  <c r="U337" i="2"/>
  <c r="U338" i="2"/>
  <c r="U339" i="2"/>
  <c r="U340" i="2"/>
  <c r="U341" i="2"/>
  <c r="U342" i="2"/>
  <c r="U343" i="2"/>
  <c r="U344" i="2"/>
  <c r="U345" i="2"/>
  <c r="U346" i="2"/>
  <c r="U347" i="2"/>
  <c r="U348" i="2"/>
  <c r="V380" i="2"/>
  <c r="V385" i="2" s="1"/>
  <c r="V323" i="2" s="1"/>
  <c r="U86" i="2"/>
  <c r="U87" i="2"/>
  <c r="BE10" i="2" l="1"/>
  <c r="BD382" i="2"/>
  <c r="V386" i="2"/>
  <c r="V324" i="2"/>
  <c r="V325" i="2"/>
  <c r="V326" i="2"/>
  <c r="V327" i="2"/>
  <c r="V328" i="2"/>
  <c r="V329" i="2"/>
  <c r="V330" i="2"/>
  <c r="V331" i="2"/>
  <c r="V332" i="2"/>
  <c r="V333" i="2"/>
  <c r="V334" i="2"/>
  <c r="BQ26" i="2"/>
  <c r="V335" i="2"/>
  <c r="V336" i="2"/>
  <c r="V337" i="2"/>
  <c r="V338" i="2"/>
  <c r="V339" i="2"/>
  <c r="V340" i="2"/>
  <c r="V341" i="2"/>
  <c r="V342" i="2"/>
  <c r="V343" i="2"/>
  <c r="V344" i="2"/>
  <c r="V345" i="2"/>
  <c r="V346" i="2"/>
  <c r="V347" i="2"/>
  <c r="V348" i="2"/>
  <c r="W380" i="2"/>
  <c r="W385" i="2" s="1"/>
  <c r="W323" i="2" s="1"/>
  <c r="V86" i="2"/>
  <c r="V87" i="2"/>
  <c r="BF10" i="2" l="1"/>
  <c r="BE382" i="2"/>
  <c r="W386" i="2"/>
  <c r="W324" i="2"/>
  <c r="W325" i="2"/>
  <c r="W326" i="2"/>
  <c r="W327" i="2"/>
  <c r="W328" i="2"/>
  <c r="W329" i="2"/>
  <c r="W330" i="2"/>
  <c r="W331" i="2"/>
  <c r="W332" i="2"/>
  <c r="W333" i="2"/>
  <c r="W334" i="2"/>
  <c r="BQ27" i="2"/>
  <c r="W335" i="2"/>
  <c r="W336" i="2"/>
  <c r="W337" i="2"/>
  <c r="W338" i="2"/>
  <c r="W339" i="2"/>
  <c r="W340" i="2"/>
  <c r="W341" i="2"/>
  <c r="W342" i="2"/>
  <c r="W343" i="2"/>
  <c r="W344" i="2"/>
  <c r="W345" i="2"/>
  <c r="W346" i="2"/>
  <c r="W347" i="2"/>
  <c r="W348" i="2"/>
  <c r="X380" i="2"/>
  <c r="X385" i="2" s="1"/>
  <c r="X323" i="2" s="1"/>
  <c r="W86" i="2"/>
  <c r="W87" i="2"/>
  <c r="BF382" i="2" l="1"/>
  <c r="BG10" i="2"/>
  <c r="X386" i="2"/>
  <c r="X324" i="2"/>
  <c r="X325" i="2"/>
  <c r="X326" i="2"/>
  <c r="X327" i="2"/>
  <c r="X328" i="2"/>
  <c r="X329" i="2"/>
  <c r="X330" i="2"/>
  <c r="X331" i="2"/>
  <c r="X332" i="2"/>
  <c r="X333" i="2"/>
  <c r="X334" i="2"/>
  <c r="BQ28" i="2"/>
  <c r="X335" i="2"/>
  <c r="X336" i="2"/>
  <c r="X337" i="2"/>
  <c r="X338" i="2"/>
  <c r="X339" i="2"/>
  <c r="X340" i="2"/>
  <c r="X341" i="2"/>
  <c r="X342" i="2"/>
  <c r="X343" i="2"/>
  <c r="X344" i="2"/>
  <c r="X345" i="2"/>
  <c r="X346" i="2"/>
  <c r="X347" i="2"/>
  <c r="X348" i="2"/>
  <c r="Y380" i="2"/>
  <c r="Y385" i="2" s="1"/>
  <c r="Y323" i="2" s="1"/>
  <c r="X86" i="2"/>
  <c r="X87" i="2"/>
  <c r="BH10" i="2" l="1"/>
  <c r="BG382" i="2"/>
  <c r="Y386" i="2"/>
  <c r="Y324" i="2"/>
  <c r="Y325" i="2"/>
  <c r="Y326" i="2"/>
  <c r="Y327" i="2"/>
  <c r="Y328" i="2"/>
  <c r="Y329" i="2"/>
  <c r="Y330" i="2"/>
  <c r="Y331" i="2"/>
  <c r="Y332" i="2"/>
  <c r="Y333" i="2"/>
  <c r="Y334" i="2"/>
  <c r="BQ29" i="2"/>
  <c r="Y335" i="2"/>
  <c r="Y336" i="2"/>
  <c r="Y337" i="2"/>
  <c r="Y338" i="2"/>
  <c r="Y339" i="2"/>
  <c r="Y340" i="2"/>
  <c r="Y341" i="2"/>
  <c r="Y342" i="2"/>
  <c r="Y343" i="2"/>
  <c r="Y344" i="2"/>
  <c r="Y345" i="2"/>
  <c r="Y346" i="2"/>
  <c r="Y347" i="2"/>
  <c r="Y348" i="2"/>
  <c r="Z380" i="2"/>
  <c r="Z385" i="2" s="1"/>
  <c r="Z323" i="2" s="1"/>
  <c r="Y86" i="2"/>
  <c r="Y87" i="2"/>
  <c r="BI10" i="2" l="1"/>
  <c r="BH382" i="2"/>
  <c r="Z386" i="2"/>
  <c r="Z324" i="2"/>
  <c r="Z325" i="2"/>
  <c r="Z326" i="2"/>
  <c r="Z327" i="2"/>
  <c r="Z328" i="2"/>
  <c r="Z329" i="2"/>
  <c r="Z330" i="2"/>
  <c r="Z331" i="2"/>
  <c r="Z332" i="2"/>
  <c r="Z333" i="2"/>
  <c r="Z334" i="2"/>
  <c r="BQ30" i="2"/>
  <c r="Z335" i="2"/>
  <c r="Z336" i="2"/>
  <c r="Z337" i="2"/>
  <c r="Z338" i="2"/>
  <c r="Z339" i="2"/>
  <c r="Z340" i="2"/>
  <c r="Z341" i="2"/>
  <c r="Z342" i="2"/>
  <c r="Z343" i="2"/>
  <c r="Z344" i="2"/>
  <c r="Z345" i="2"/>
  <c r="Z346" i="2"/>
  <c r="Z347" i="2"/>
  <c r="Z348" i="2"/>
  <c r="AA380" i="2"/>
  <c r="AA385" i="2" s="1"/>
  <c r="AA323" i="2" s="1"/>
  <c r="Z86" i="2"/>
  <c r="Z87" i="2"/>
  <c r="BJ10" i="2" l="1"/>
  <c r="BI382" i="2"/>
  <c r="AA386" i="2"/>
  <c r="AA324" i="2"/>
  <c r="AA325" i="2"/>
  <c r="AA326" i="2"/>
  <c r="AA327" i="2"/>
  <c r="AA328" i="2"/>
  <c r="AA329" i="2"/>
  <c r="AA330" i="2"/>
  <c r="AA331" i="2"/>
  <c r="AA332" i="2"/>
  <c r="AA333" i="2"/>
  <c r="AA334" i="2"/>
  <c r="BQ31" i="2"/>
  <c r="AA335" i="2"/>
  <c r="AA336" i="2"/>
  <c r="AA337" i="2"/>
  <c r="AA338" i="2"/>
  <c r="AA339" i="2"/>
  <c r="AA340" i="2"/>
  <c r="AA341" i="2"/>
  <c r="AA342" i="2"/>
  <c r="AA343" i="2"/>
  <c r="AA344" i="2"/>
  <c r="AA345" i="2"/>
  <c r="AA346" i="2"/>
  <c r="AA347" i="2"/>
  <c r="AA348" i="2"/>
  <c r="AB380" i="2"/>
  <c r="AB385" i="2" s="1"/>
  <c r="AB323" i="2" s="1"/>
  <c r="AA86" i="2"/>
  <c r="AA87" i="2"/>
  <c r="BJ382" i="2" l="1"/>
  <c r="BK10" i="2"/>
  <c r="AB386" i="2"/>
  <c r="AB324" i="2"/>
  <c r="AB325" i="2"/>
  <c r="AB326" i="2"/>
  <c r="AB327" i="2"/>
  <c r="AB328" i="2"/>
  <c r="AB329" i="2"/>
  <c r="AB330" i="2"/>
  <c r="AB331" i="2"/>
  <c r="AB332" i="2"/>
  <c r="AB333" i="2"/>
  <c r="AB334" i="2"/>
  <c r="BQ32" i="2"/>
  <c r="AB335" i="2"/>
  <c r="AB336" i="2"/>
  <c r="AB337" i="2"/>
  <c r="AB338" i="2"/>
  <c r="AB339" i="2"/>
  <c r="AB340" i="2"/>
  <c r="AB341" i="2"/>
  <c r="AB342" i="2"/>
  <c r="AB343" i="2"/>
  <c r="AB344" i="2"/>
  <c r="AB345" i="2"/>
  <c r="AB346" i="2"/>
  <c r="AB347" i="2"/>
  <c r="AB348" i="2"/>
  <c r="AC380" i="2"/>
  <c r="AC385" i="2" s="1"/>
  <c r="AC323" i="2" s="1"/>
  <c r="AB86" i="2"/>
  <c r="AB87" i="2"/>
  <c r="BL10" i="2" l="1"/>
  <c r="BL382" i="2" s="1"/>
  <c r="BK382" i="2"/>
  <c r="AC386" i="2"/>
  <c r="AC324" i="2"/>
  <c r="AC325" i="2"/>
  <c r="AC326" i="2"/>
  <c r="AC327" i="2"/>
  <c r="AC328" i="2"/>
  <c r="AC329" i="2"/>
  <c r="AC330" i="2"/>
  <c r="AC331" i="2"/>
  <c r="AC332" i="2"/>
  <c r="AC333" i="2"/>
  <c r="BQ33" i="2"/>
  <c r="AC334" i="2"/>
  <c r="AC335" i="2"/>
  <c r="AC336" i="2"/>
  <c r="AC337" i="2"/>
  <c r="AC338" i="2"/>
  <c r="AC339" i="2"/>
  <c r="AC340" i="2"/>
  <c r="AC341" i="2"/>
  <c r="AC342" i="2"/>
  <c r="AC343" i="2"/>
  <c r="AC344" i="2"/>
  <c r="AC345" i="2"/>
  <c r="AC346" i="2"/>
  <c r="AC347" i="2"/>
  <c r="AC348" i="2"/>
  <c r="AD380" i="2"/>
  <c r="AD385" i="2" s="1"/>
  <c r="AD323" i="2" s="1"/>
  <c r="AC86" i="2"/>
  <c r="AC87" i="2"/>
  <c r="AD386" i="2" l="1"/>
  <c r="AD324" i="2"/>
  <c r="AD325" i="2"/>
  <c r="AD326" i="2"/>
  <c r="AD327" i="2"/>
  <c r="AD328" i="2"/>
  <c r="AD329" i="2"/>
  <c r="AD330" i="2"/>
  <c r="AD331" i="2"/>
  <c r="AD332" i="2"/>
  <c r="AD333" i="2"/>
  <c r="BQ34" i="2"/>
  <c r="AD334" i="2"/>
  <c r="AD335" i="2"/>
  <c r="AD336" i="2"/>
  <c r="AD337" i="2"/>
  <c r="AD338" i="2"/>
  <c r="AD339" i="2"/>
  <c r="AD340" i="2"/>
  <c r="AD341" i="2"/>
  <c r="AD342" i="2"/>
  <c r="AD343" i="2"/>
  <c r="AD344" i="2"/>
  <c r="AD345" i="2"/>
  <c r="AD346" i="2"/>
  <c r="AD347" i="2"/>
  <c r="AD348" i="2"/>
  <c r="AE380" i="2"/>
  <c r="AE385" i="2" s="1"/>
  <c r="AE323" i="2" s="1"/>
  <c r="AD86" i="2"/>
  <c r="AD87" i="2"/>
  <c r="AE386" i="2" l="1"/>
  <c r="AE324" i="2"/>
  <c r="AE325" i="2"/>
  <c r="AE326" i="2"/>
  <c r="AE327" i="2"/>
  <c r="AE328" i="2"/>
  <c r="AE329" i="2"/>
  <c r="AE330" i="2"/>
  <c r="AE331" i="2"/>
  <c r="AE332" i="2"/>
  <c r="AE333" i="2"/>
  <c r="BQ35" i="2"/>
  <c r="AE334" i="2"/>
  <c r="AE335" i="2"/>
  <c r="AE336" i="2"/>
  <c r="AE337" i="2"/>
  <c r="AE338" i="2"/>
  <c r="AE339" i="2"/>
  <c r="AE340" i="2"/>
  <c r="AE341" i="2"/>
  <c r="AE342" i="2"/>
  <c r="AE343" i="2"/>
  <c r="AE344" i="2"/>
  <c r="AE345" i="2"/>
  <c r="AE346" i="2"/>
  <c r="AE347" i="2"/>
  <c r="AE348" i="2"/>
  <c r="AF380" i="2"/>
  <c r="AF385" i="2" s="1"/>
  <c r="AF323" i="2" s="1"/>
  <c r="AE86" i="2"/>
  <c r="AE87" i="2"/>
  <c r="AF386" i="2" l="1"/>
  <c r="AF324" i="2"/>
  <c r="AF325" i="2"/>
  <c r="AF326" i="2"/>
  <c r="AF327" i="2"/>
  <c r="AF328" i="2"/>
  <c r="AF329" i="2"/>
  <c r="AF330" i="2"/>
  <c r="AF331" i="2"/>
  <c r="AF332" i="2"/>
  <c r="AF333" i="2"/>
  <c r="BQ36" i="2"/>
  <c r="AF334" i="2"/>
  <c r="AF335" i="2"/>
  <c r="AF336" i="2"/>
  <c r="AF337" i="2"/>
  <c r="AF338" i="2"/>
  <c r="AF339" i="2"/>
  <c r="AF340" i="2"/>
  <c r="AF341" i="2"/>
  <c r="AF342" i="2"/>
  <c r="AF343" i="2"/>
  <c r="AF344" i="2"/>
  <c r="AF345" i="2"/>
  <c r="AF346" i="2"/>
  <c r="AF347" i="2"/>
  <c r="AF348" i="2"/>
  <c r="AG380" i="2"/>
  <c r="AG385" i="2" s="1"/>
  <c r="AG323" i="2" s="1"/>
  <c r="AF86" i="2"/>
  <c r="AF87" i="2"/>
  <c r="AG386" i="2" l="1"/>
  <c r="AG324" i="2"/>
  <c r="AG325" i="2"/>
  <c r="AG326" i="2"/>
  <c r="AG327" i="2"/>
  <c r="AG328" i="2"/>
  <c r="AG329" i="2"/>
  <c r="AG330" i="2"/>
  <c r="AG331" i="2"/>
  <c r="AG332" i="2"/>
  <c r="AG333" i="2"/>
  <c r="BQ37" i="2"/>
  <c r="AG334" i="2"/>
  <c r="AG335" i="2"/>
  <c r="AG336" i="2"/>
  <c r="AG337" i="2"/>
  <c r="AG338" i="2"/>
  <c r="AG339" i="2"/>
  <c r="AG340" i="2"/>
  <c r="AG341" i="2"/>
  <c r="AG342" i="2"/>
  <c r="AG343" i="2"/>
  <c r="AG344" i="2"/>
  <c r="AG345" i="2"/>
  <c r="AG346" i="2"/>
  <c r="AG347" i="2"/>
  <c r="AG348" i="2"/>
  <c r="AH380" i="2"/>
  <c r="AH385" i="2" s="1"/>
  <c r="AH323" i="2" s="1"/>
  <c r="AG86" i="2"/>
  <c r="AG87" i="2"/>
  <c r="AH386" i="2" l="1"/>
  <c r="AH324" i="2"/>
  <c r="AH325" i="2"/>
  <c r="AH326" i="2"/>
  <c r="AH327" i="2"/>
  <c r="AH328" i="2"/>
  <c r="AH329" i="2"/>
  <c r="AH330" i="2"/>
  <c r="AH331" i="2"/>
  <c r="AH332" i="2"/>
  <c r="AH333" i="2"/>
  <c r="BQ38" i="2"/>
  <c r="AH334" i="2"/>
  <c r="AH335" i="2"/>
  <c r="AH336" i="2"/>
  <c r="AH337" i="2"/>
  <c r="AH338" i="2"/>
  <c r="AH339" i="2"/>
  <c r="AH340" i="2"/>
  <c r="AH341" i="2"/>
  <c r="AH342" i="2"/>
  <c r="AH343" i="2"/>
  <c r="AH344" i="2"/>
  <c r="AH345" i="2"/>
  <c r="AH346" i="2"/>
  <c r="AH347" i="2"/>
  <c r="AH348" i="2"/>
  <c r="AI380" i="2"/>
  <c r="AI385" i="2" s="1"/>
  <c r="AI323" i="2" s="1"/>
  <c r="AH86" i="2"/>
  <c r="AH87" i="2"/>
  <c r="AI386" i="2" l="1"/>
  <c r="AI324" i="2"/>
  <c r="AI325" i="2"/>
  <c r="AI326" i="2"/>
  <c r="AI327" i="2"/>
  <c r="AI328" i="2"/>
  <c r="AI329" i="2"/>
  <c r="AI330" i="2"/>
  <c r="AI331" i="2"/>
  <c r="AI332" i="2"/>
  <c r="AI333" i="2"/>
  <c r="BQ39" i="2"/>
  <c r="AI334" i="2"/>
  <c r="AI335" i="2"/>
  <c r="AI336" i="2"/>
  <c r="AI337" i="2"/>
  <c r="AI338" i="2"/>
  <c r="AI339" i="2"/>
  <c r="AI340" i="2"/>
  <c r="AI341" i="2"/>
  <c r="AI342" i="2"/>
  <c r="AI343" i="2"/>
  <c r="AI344" i="2"/>
  <c r="AI345" i="2"/>
  <c r="AI346" i="2"/>
  <c r="AI347" i="2"/>
  <c r="AI348" i="2"/>
  <c r="AJ380" i="2"/>
  <c r="AJ385" i="2" s="1"/>
  <c r="AJ323" i="2" s="1"/>
  <c r="AI86" i="2"/>
  <c r="AI87" i="2"/>
  <c r="AJ386" i="2" l="1"/>
  <c r="AJ324" i="2"/>
  <c r="AJ325" i="2"/>
  <c r="AJ326" i="2"/>
  <c r="AJ327" i="2"/>
  <c r="AJ328" i="2"/>
  <c r="AJ329" i="2"/>
  <c r="AJ330" i="2"/>
  <c r="AJ331" i="2"/>
  <c r="AJ332" i="2"/>
  <c r="AJ333" i="2"/>
  <c r="BQ40" i="2"/>
  <c r="AJ334" i="2"/>
  <c r="AJ335" i="2"/>
  <c r="AJ336" i="2"/>
  <c r="AJ337" i="2"/>
  <c r="AJ338" i="2"/>
  <c r="AJ339" i="2"/>
  <c r="AJ340" i="2"/>
  <c r="AJ341" i="2"/>
  <c r="AJ342" i="2"/>
  <c r="AJ343" i="2"/>
  <c r="AJ344" i="2"/>
  <c r="AJ345" i="2"/>
  <c r="AJ346" i="2"/>
  <c r="AJ347" i="2"/>
  <c r="AJ348" i="2"/>
  <c r="AK380" i="2"/>
  <c r="AK385" i="2" s="1"/>
  <c r="AK323" i="2" s="1"/>
  <c r="AJ86" i="2"/>
  <c r="AJ87" i="2"/>
  <c r="AK386" i="2" l="1"/>
  <c r="AK324" i="2"/>
  <c r="AK325" i="2"/>
  <c r="AK326" i="2"/>
  <c r="AK327" i="2"/>
  <c r="AK328" i="2"/>
  <c r="AK329" i="2"/>
  <c r="AK330" i="2"/>
  <c r="AK331" i="2"/>
  <c r="AK332" i="2"/>
  <c r="AK333" i="2"/>
  <c r="BQ41" i="2"/>
  <c r="AK334" i="2"/>
  <c r="AK335" i="2"/>
  <c r="AK336" i="2"/>
  <c r="AK337" i="2"/>
  <c r="AK338" i="2"/>
  <c r="AK339" i="2"/>
  <c r="AK340" i="2"/>
  <c r="AK341" i="2"/>
  <c r="AK342" i="2"/>
  <c r="AK343" i="2"/>
  <c r="AK344" i="2"/>
  <c r="AK345" i="2"/>
  <c r="AK346" i="2"/>
  <c r="AK347" i="2"/>
  <c r="AK348" i="2"/>
  <c r="AL380" i="2"/>
  <c r="AL385" i="2" s="1"/>
  <c r="AL323" i="2" s="1"/>
  <c r="AK86" i="2"/>
  <c r="AK87" i="2"/>
  <c r="AL386" i="2" l="1"/>
  <c r="AL324" i="2"/>
  <c r="AL325" i="2"/>
  <c r="AL326" i="2"/>
  <c r="AL327" i="2"/>
  <c r="AL328" i="2"/>
  <c r="AL329" i="2"/>
  <c r="AL330" i="2"/>
  <c r="AL331" i="2"/>
  <c r="AL332" i="2"/>
  <c r="AL333" i="2"/>
  <c r="BQ42" i="2"/>
  <c r="AL334" i="2"/>
  <c r="AL335" i="2"/>
  <c r="AL336" i="2"/>
  <c r="AL337" i="2"/>
  <c r="AL338" i="2"/>
  <c r="AL339" i="2"/>
  <c r="AL340" i="2"/>
  <c r="AL341" i="2"/>
  <c r="AL342" i="2"/>
  <c r="AL343" i="2"/>
  <c r="AL344" i="2"/>
  <c r="AL345" i="2"/>
  <c r="AL346" i="2"/>
  <c r="AL347" i="2"/>
  <c r="AL348" i="2"/>
  <c r="AM380" i="2"/>
  <c r="AM385" i="2" s="1"/>
  <c r="AM323" i="2" s="1"/>
  <c r="AL86" i="2"/>
  <c r="AL87" i="2"/>
  <c r="AM386" i="2" l="1"/>
  <c r="AM324" i="2"/>
  <c r="AM325" i="2"/>
  <c r="AM326" i="2"/>
  <c r="AM327" i="2"/>
  <c r="AM328" i="2"/>
  <c r="AM329" i="2"/>
  <c r="AM330" i="2"/>
  <c r="AM331" i="2"/>
  <c r="AM332" i="2"/>
  <c r="AM333" i="2"/>
  <c r="BQ43" i="2"/>
  <c r="AM334" i="2"/>
  <c r="AM335" i="2"/>
  <c r="AM336" i="2"/>
  <c r="AM337" i="2"/>
  <c r="AM338" i="2"/>
  <c r="AM339" i="2"/>
  <c r="AM340" i="2"/>
  <c r="AM341" i="2"/>
  <c r="AM342" i="2"/>
  <c r="AM343" i="2"/>
  <c r="AM344" i="2"/>
  <c r="AM345" i="2"/>
  <c r="AM346" i="2"/>
  <c r="AM347" i="2"/>
  <c r="AM348" i="2"/>
  <c r="AN380" i="2"/>
  <c r="AN385" i="2" s="1"/>
  <c r="AN323" i="2" s="1"/>
  <c r="AM86" i="2"/>
  <c r="AM87" i="2"/>
  <c r="AN386" i="2" l="1"/>
  <c r="AN324" i="2"/>
  <c r="AN325" i="2"/>
  <c r="AN326" i="2"/>
  <c r="AN327" i="2"/>
  <c r="AN328" i="2"/>
  <c r="AN329" i="2"/>
  <c r="AN330" i="2"/>
  <c r="AN331" i="2"/>
  <c r="AN332" i="2"/>
  <c r="AN333" i="2"/>
  <c r="BQ44" i="2"/>
  <c r="AN334" i="2"/>
  <c r="AN335" i="2"/>
  <c r="AN336" i="2"/>
  <c r="AN337" i="2"/>
  <c r="AN338" i="2"/>
  <c r="AN339" i="2"/>
  <c r="AN340" i="2"/>
  <c r="AN341" i="2"/>
  <c r="AN342" i="2"/>
  <c r="AN343" i="2"/>
  <c r="AN344" i="2"/>
  <c r="AN345" i="2"/>
  <c r="AN346" i="2"/>
  <c r="AN347" i="2"/>
  <c r="AN348" i="2"/>
  <c r="AO380" i="2"/>
  <c r="AO385" i="2" s="1"/>
  <c r="AO323" i="2" s="1"/>
  <c r="AN86" i="2"/>
  <c r="AN87" i="2"/>
  <c r="AO386" i="2" l="1"/>
  <c r="AO324" i="2"/>
  <c r="AO325" i="2"/>
  <c r="AO326" i="2"/>
  <c r="AO327" i="2"/>
  <c r="AO328" i="2"/>
  <c r="AO329" i="2"/>
  <c r="AO330" i="2"/>
  <c r="AO331" i="2"/>
  <c r="AO332" i="2"/>
  <c r="AO333" i="2"/>
  <c r="AO334" i="2"/>
  <c r="AO335" i="2"/>
  <c r="AO336" i="2"/>
  <c r="AO337" i="2"/>
  <c r="AO338" i="2"/>
  <c r="AO339" i="2"/>
  <c r="AO340" i="2"/>
  <c r="AO341" i="2"/>
  <c r="AO342" i="2"/>
  <c r="AO343" i="2"/>
  <c r="AO344" i="2"/>
  <c r="AO345" i="2"/>
  <c r="AO346" i="2"/>
  <c r="AO347" i="2"/>
  <c r="AO348" i="2"/>
  <c r="AP380" i="2"/>
  <c r="AP385" i="2" s="1"/>
  <c r="AP323" i="2" s="1"/>
  <c r="AO86" i="2"/>
  <c r="AO87" i="2"/>
  <c r="AP386" i="2" l="1"/>
  <c r="AP324" i="2"/>
  <c r="AP325" i="2"/>
  <c r="AP326" i="2"/>
  <c r="AP327" i="2"/>
  <c r="AP328" i="2"/>
  <c r="AP329" i="2"/>
  <c r="AP330" i="2"/>
  <c r="AP331" i="2"/>
  <c r="AP332" i="2"/>
  <c r="AP333" i="2"/>
  <c r="AP334" i="2"/>
  <c r="AP335" i="2"/>
  <c r="AP336" i="2"/>
  <c r="AP337" i="2"/>
  <c r="AP338" i="2"/>
  <c r="AP339" i="2"/>
  <c r="AP340" i="2"/>
  <c r="AP341" i="2"/>
  <c r="AP342" i="2"/>
  <c r="AP343" i="2"/>
  <c r="AP344" i="2"/>
  <c r="AP345" i="2"/>
  <c r="AP346" i="2"/>
  <c r="AP347" i="2"/>
  <c r="AP348" i="2"/>
  <c r="AQ380" i="2"/>
  <c r="AQ385" i="2" s="1"/>
  <c r="AQ323" i="2" s="1"/>
  <c r="AP86" i="2"/>
  <c r="AP87" i="2"/>
  <c r="AQ386" i="2" l="1"/>
  <c r="AQ324" i="2"/>
  <c r="AQ325" i="2"/>
  <c r="AQ326" i="2"/>
  <c r="AQ327" i="2"/>
  <c r="AQ328" i="2"/>
  <c r="AQ329" i="2"/>
  <c r="AQ330" i="2"/>
  <c r="AQ331" i="2"/>
  <c r="AQ332" i="2"/>
  <c r="AQ333" i="2"/>
  <c r="AQ334" i="2"/>
  <c r="AQ335" i="2"/>
  <c r="AQ336" i="2"/>
  <c r="AQ337" i="2"/>
  <c r="AQ338" i="2"/>
  <c r="AQ339" i="2"/>
  <c r="AQ340" i="2"/>
  <c r="AQ341" i="2"/>
  <c r="AQ342" i="2"/>
  <c r="AQ343" i="2"/>
  <c r="AQ344" i="2"/>
  <c r="AQ345" i="2"/>
  <c r="AQ346" i="2"/>
  <c r="AQ347" i="2"/>
  <c r="AQ348" i="2"/>
  <c r="AR380" i="2"/>
  <c r="AR385" i="2" s="1"/>
  <c r="AR323" i="2" s="1"/>
  <c r="AQ86" i="2"/>
  <c r="AQ87" i="2"/>
  <c r="AR386" i="2" l="1"/>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S380" i="2"/>
  <c r="AS385" i="2" s="1"/>
  <c r="AS323" i="2" s="1"/>
  <c r="AR86" i="2"/>
  <c r="AR87" i="2"/>
  <c r="AS324" i="2" l="1"/>
  <c r="AS325" i="2"/>
  <c r="AS326" i="2"/>
  <c r="AS327" i="2"/>
  <c r="AS328" i="2"/>
  <c r="AS329" i="2"/>
  <c r="AS330" i="2"/>
  <c r="AS331" i="2"/>
  <c r="AS332" i="2"/>
  <c r="AS333" i="2"/>
  <c r="AS334" i="2"/>
  <c r="AS335" i="2"/>
  <c r="AS336" i="2"/>
  <c r="AS337" i="2"/>
  <c r="AS338" i="2"/>
  <c r="AS339" i="2"/>
  <c r="AS340" i="2"/>
  <c r="AS341" i="2"/>
  <c r="AS342" i="2"/>
  <c r="AS343" i="2"/>
  <c r="AS344" i="2"/>
  <c r="AS345" i="2"/>
  <c r="AS346" i="2"/>
  <c r="AS347" i="2"/>
  <c r="AS348" i="2"/>
  <c r="AT380" i="2"/>
  <c r="AT385" i="2" s="1"/>
  <c r="AT323" i="2" s="1"/>
  <c r="AS86" i="2"/>
  <c r="AS87" i="2"/>
  <c r="AS386" i="2"/>
  <c r="AT324" i="2" l="1"/>
  <c r="AT325" i="2"/>
  <c r="AT326" i="2"/>
  <c r="AT327" i="2"/>
  <c r="AT328" i="2"/>
  <c r="AT329" i="2"/>
  <c r="AT330" i="2"/>
  <c r="AT331" i="2"/>
  <c r="AT332" i="2"/>
  <c r="AT333" i="2"/>
  <c r="AT334" i="2"/>
  <c r="AT335" i="2"/>
  <c r="AT336" i="2"/>
  <c r="AT337" i="2"/>
  <c r="AT338" i="2"/>
  <c r="AT339" i="2"/>
  <c r="AT340" i="2"/>
  <c r="AT341" i="2"/>
  <c r="AT342" i="2"/>
  <c r="AT343" i="2"/>
  <c r="AT344" i="2"/>
  <c r="AT345" i="2"/>
  <c r="AT346" i="2"/>
  <c r="AT347" i="2"/>
  <c r="AT348" i="2"/>
  <c r="AU380" i="2"/>
  <c r="AU385" i="2" s="1"/>
  <c r="AU323" i="2" s="1"/>
  <c r="AT86" i="2"/>
  <c r="AT87" i="2"/>
  <c r="AT386" i="2"/>
  <c r="AU324" i="2" l="1"/>
  <c r="AU325" i="2"/>
  <c r="AU326" i="2"/>
  <c r="AU327" i="2"/>
  <c r="AU328" i="2"/>
  <c r="AU329" i="2"/>
  <c r="AU330" i="2"/>
  <c r="AU331" i="2"/>
  <c r="AU332" i="2"/>
  <c r="AU333" i="2"/>
  <c r="AU334" i="2"/>
  <c r="AU335" i="2"/>
  <c r="AU336" i="2"/>
  <c r="AU337" i="2"/>
  <c r="AU338" i="2"/>
  <c r="AU339" i="2"/>
  <c r="AU340" i="2"/>
  <c r="AU341" i="2"/>
  <c r="AU342" i="2"/>
  <c r="AU343" i="2"/>
  <c r="AU344" i="2"/>
  <c r="AU345" i="2"/>
  <c r="AU346" i="2"/>
  <c r="AU347" i="2"/>
  <c r="AU348" i="2"/>
  <c r="AV380" i="2"/>
  <c r="AV385" i="2" s="1"/>
  <c r="AV323" i="2" s="1"/>
  <c r="AU86" i="2"/>
  <c r="AU87" i="2"/>
  <c r="AU386" i="2"/>
  <c r="AV87" i="2" l="1"/>
  <c r="AV86" i="2"/>
  <c r="AW380" i="2"/>
  <c r="AW385" i="2" s="1"/>
  <c r="AW323" i="2" s="1"/>
  <c r="AV348" i="2"/>
  <c r="AV347" i="2"/>
  <c r="AV346" i="2"/>
  <c r="AV345" i="2"/>
  <c r="AV344" i="2"/>
  <c r="AV343" i="2"/>
  <c r="AV342" i="2"/>
  <c r="AV341" i="2"/>
  <c r="AV340" i="2"/>
  <c r="AV339" i="2"/>
  <c r="AV338" i="2"/>
  <c r="AV337" i="2"/>
  <c r="AV336" i="2"/>
  <c r="AV335" i="2"/>
  <c r="AV334" i="2"/>
  <c r="AV333" i="2"/>
  <c r="AV332" i="2"/>
  <c r="AV331" i="2"/>
  <c r="AV330" i="2"/>
  <c r="AV329" i="2"/>
  <c r="AV328" i="2"/>
  <c r="AV327" i="2"/>
  <c r="AV326" i="2"/>
  <c r="AV325" i="2"/>
  <c r="AV324" i="2"/>
  <c r="AV386" i="2"/>
  <c r="AW87" i="2" l="1"/>
  <c r="AW86" i="2"/>
  <c r="AX380" i="2"/>
  <c r="AX385" i="2" s="1"/>
  <c r="AX323" i="2" s="1"/>
  <c r="AW348" i="2"/>
  <c r="AW347" i="2"/>
  <c r="AW346" i="2"/>
  <c r="AW345" i="2"/>
  <c r="AW344" i="2"/>
  <c r="AW343" i="2"/>
  <c r="AW342" i="2"/>
  <c r="AW341" i="2"/>
  <c r="AW340" i="2"/>
  <c r="AW339" i="2"/>
  <c r="AW338" i="2"/>
  <c r="AW337" i="2"/>
  <c r="AW336" i="2"/>
  <c r="AW335" i="2"/>
  <c r="AW334" i="2"/>
  <c r="AW333" i="2"/>
  <c r="AW332" i="2"/>
  <c r="AW331" i="2"/>
  <c r="AW330" i="2"/>
  <c r="AW329" i="2"/>
  <c r="AW328" i="2"/>
  <c r="AW327" i="2"/>
  <c r="AW326" i="2"/>
  <c r="AW325" i="2"/>
  <c r="AW324" i="2"/>
  <c r="AW386" i="2"/>
  <c r="AX87" i="2" l="1"/>
  <c r="AX86" i="2"/>
  <c r="AY380" i="2"/>
  <c r="AY385" i="2" s="1"/>
  <c r="AY323" i="2" s="1"/>
  <c r="AX348" i="2"/>
  <c r="AX347" i="2"/>
  <c r="AX346" i="2"/>
  <c r="AX345" i="2"/>
  <c r="AX344" i="2"/>
  <c r="AX343" i="2"/>
  <c r="AX342" i="2"/>
  <c r="AX341" i="2"/>
  <c r="AX340" i="2"/>
  <c r="AX339" i="2"/>
  <c r="AX338" i="2"/>
  <c r="AX337" i="2"/>
  <c r="AX336" i="2"/>
  <c r="AX335" i="2"/>
  <c r="AX334" i="2"/>
  <c r="AX333" i="2"/>
  <c r="AX332" i="2"/>
  <c r="AX331" i="2"/>
  <c r="AX330" i="2"/>
  <c r="AX329" i="2"/>
  <c r="AX328" i="2"/>
  <c r="AX327" i="2"/>
  <c r="AX326" i="2"/>
  <c r="AX325" i="2"/>
  <c r="AX324" i="2"/>
  <c r="AX386" i="2"/>
  <c r="AY87" i="2" l="1"/>
  <c r="AY86" i="2"/>
  <c r="AZ380" i="2"/>
  <c r="AZ385" i="2" s="1"/>
  <c r="AZ323" i="2" s="1"/>
  <c r="AY348" i="2"/>
  <c r="AY347" i="2"/>
  <c r="AY346" i="2"/>
  <c r="AY345" i="2"/>
  <c r="AY344" i="2"/>
  <c r="AY343" i="2"/>
  <c r="AY342" i="2"/>
  <c r="AY341" i="2"/>
  <c r="AY340" i="2"/>
  <c r="AY339" i="2"/>
  <c r="AY338" i="2"/>
  <c r="AY337" i="2"/>
  <c r="AY336" i="2"/>
  <c r="AY335" i="2"/>
  <c r="AY334" i="2"/>
  <c r="AY333" i="2"/>
  <c r="AY332" i="2"/>
  <c r="AY331" i="2"/>
  <c r="AY330" i="2"/>
  <c r="AY329" i="2"/>
  <c r="AY328" i="2"/>
  <c r="AY327" i="2"/>
  <c r="AY326" i="2"/>
  <c r="AY325" i="2"/>
  <c r="AY324" i="2"/>
  <c r="AY386" i="2"/>
  <c r="AZ87" i="2" l="1"/>
  <c r="AZ86" i="2"/>
  <c r="BA380" i="2"/>
  <c r="BA385" i="2" s="1"/>
  <c r="BA323" i="2" s="1"/>
  <c r="AZ348" i="2"/>
  <c r="AZ347" i="2"/>
  <c r="AZ346" i="2"/>
  <c r="AZ345" i="2"/>
  <c r="AZ344" i="2"/>
  <c r="AZ343" i="2"/>
  <c r="AZ342" i="2"/>
  <c r="AZ341" i="2"/>
  <c r="AZ340" i="2"/>
  <c r="AZ339" i="2"/>
  <c r="AZ338" i="2"/>
  <c r="AZ337" i="2"/>
  <c r="AZ336" i="2"/>
  <c r="AZ335" i="2"/>
  <c r="AZ334" i="2"/>
  <c r="AZ333" i="2"/>
  <c r="AZ332" i="2"/>
  <c r="AZ331" i="2"/>
  <c r="AZ330" i="2"/>
  <c r="AZ329" i="2"/>
  <c r="AZ328" i="2"/>
  <c r="AZ327" i="2"/>
  <c r="AZ326" i="2"/>
  <c r="AZ325" i="2"/>
  <c r="AZ324" i="2"/>
  <c r="AZ386" i="2"/>
  <c r="BA87" i="2" l="1"/>
  <c r="BA86" i="2"/>
  <c r="BB380" i="2"/>
  <c r="BB385" i="2" s="1"/>
  <c r="BB323" i="2" s="1"/>
  <c r="BA348" i="2"/>
  <c r="BA347" i="2"/>
  <c r="BA346" i="2"/>
  <c r="BA345" i="2"/>
  <c r="BA344" i="2"/>
  <c r="BA343" i="2"/>
  <c r="BA342" i="2"/>
  <c r="BA341" i="2"/>
  <c r="BA340" i="2"/>
  <c r="BA339" i="2"/>
  <c r="BA338" i="2"/>
  <c r="BA337" i="2"/>
  <c r="BA336" i="2"/>
  <c r="BA335" i="2"/>
  <c r="BA334" i="2"/>
  <c r="BA333" i="2"/>
  <c r="BA332" i="2"/>
  <c r="BA331" i="2"/>
  <c r="BA330" i="2"/>
  <c r="BA329" i="2"/>
  <c r="BA328" i="2"/>
  <c r="BA327" i="2"/>
  <c r="BA326" i="2"/>
  <c r="BA325" i="2"/>
  <c r="BA324" i="2"/>
  <c r="BA386" i="2"/>
  <c r="BB87" i="2" l="1"/>
  <c r="BB86" i="2"/>
  <c r="BC380" i="2"/>
  <c r="BC385" i="2" s="1"/>
  <c r="BC323" i="2" s="1"/>
  <c r="BB348" i="2"/>
  <c r="BB347" i="2"/>
  <c r="BB346" i="2"/>
  <c r="BB345" i="2"/>
  <c r="BB344" i="2"/>
  <c r="BB343" i="2"/>
  <c r="BB342" i="2"/>
  <c r="BB341" i="2"/>
  <c r="BB340" i="2"/>
  <c r="BB339" i="2"/>
  <c r="BB338" i="2"/>
  <c r="BB337" i="2"/>
  <c r="BB336" i="2"/>
  <c r="BB335" i="2"/>
  <c r="BB334" i="2"/>
  <c r="BB333" i="2"/>
  <c r="BB332" i="2"/>
  <c r="BB331" i="2"/>
  <c r="BB330" i="2"/>
  <c r="BB329" i="2"/>
  <c r="BB328" i="2"/>
  <c r="BB327" i="2"/>
  <c r="BB326" i="2"/>
  <c r="BB325" i="2"/>
  <c r="BB324" i="2"/>
  <c r="BB386" i="2"/>
  <c r="BC87" i="2" l="1"/>
  <c r="BC86" i="2"/>
  <c r="BD380" i="2"/>
  <c r="BD385" i="2" s="1"/>
  <c r="BD323" i="2" s="1"/>
  <c r="BC348" i="2"/>
  <c r="BC347" i="2"/>
  <c r="BC346" i="2"/>
  <c r="BC345" i="2"/>
  <c r="BC344" i="2"/>
  <c r="BC343" i="2"/>
  <c r="BC342" i="2"/>
  <c r="BC341" i="2"/>
  <c r="BC340" i="2"/>
  <c r="BC339" i="2"/>
  <c r="BC338" i="2"/>
  <c r="BC337" i="2"/>
  <c r="BC336" i="2"/>
  <c r="BC335" i="2"/>
  <c r="BC334" i="2"/>
  <c r="BC333" i="2"/>
  <c r="BC332" i="2"/>
  <c r="BC331" i="2"/>
  <c r="BC330" i="2"/>
  <c r="BC329" i="2"/>
  <c r="BC328" i="2"/>
  <c r="BC327" i="2"/>
  <c r="BC326" i="2"/>
  <c r="BC325" i="2"/>
  <c r="BC324" i="2"/>
  <c r="BC386" i="2"/>
  <c r="BD87" i="2" l="1"/>
  <c r="BD86" i="2"/>
  <c r="BE380" i="2"/>
  <c r="BE385" i="2" s="1"/>
  <c r="BE323" i="2" s="1"/>
  <c r="BD348" i="2"/>
  <c r="BD347" i="2"/>
  <c r="BD346" i="2"/>
  <c r="BD345" i="2"/>
  <c r="BD344" i="2"/>
  <c r="BD343" i="2"/>
  <c r="BD342" i="2"/>
  <c r="BD341" i="2"/>
  <c r="BD340" i="2"/>
  <c r="BD339" i="2"/>
  <c r="BD338" i="2"/>
  <c r="BD337" i="2"/>
  <c r="BD336" i="2"/>
  <c r="BD335" i="2"/>
  <c r="BD334" i="2"/>
  <c r="BD333" i="2"/>
  <c r="BD332" i="2"/>
  <c r="BD331" i="2"/>
  <c r="BD330" i="2"/>
  <c r="BD329" i="2"/>
  <c r="BD328" i="2"/>
  <c r="BD327" i="2"/>
  <c r="BD326" i="2"/>
  <c r="BD325" i="2"/>
  <c r="BD324" i="2"/>
  <c r="BD386" i="2"/>
  <c r="BE87" i="2" l="1"/>
  <c r="BE86" i="2"/>
  <c r="BF380" i="2"/>
  <c r="BF385" i="2" s="1"/>
  <c r="BF323" i="2" s="1"/>
  <c r="BE348" i="2"/>
  <c r="BE347" i="2"/>
  <c r="BE346" i="2"/>
  <c r="BE345" i="2"/>
  <c r="BE344" i="2"/>
  <c r="BE343" i="2"/>
  <c r="BE342" i="2"/>
  <c r="BE341" i="2"/>
  <c r="BE340" i="2"/>
  <c r="BE339" i="2"/>
  <c r="BE338" i="2"/>
  <c r="BE337" i="2"/>
  <c r="BE336" i="2"/>
  <c r="BE335" i="2"/>
  <c r="BE334" i="2"/>
  <c r="BE333" i="2"/>
  <c r="BE332" i="2"/>
  <c r="BE331" i="2"/>
  <c r="BE330" i="2"/>
  <c r="BE329" i="2"/>
  <c r="BE328" i="2"/>
  <c r="BE327" i="2"/>
  <c r="BE326" i="2"/>
  <c r="BE325" i="2"/>
  <c r="BE324" i="2"/>
  <c r="BE386" i="2"/>
  <c r="BF87" i="2" l="1"/>
  <c r="BF86" i="2"/>
  <c r="BG380" i="2"/>
  <c r="BG385" i="2" s="1"/>
  <c r="BG323" i="2" s="1"/>
  <c r="BF348" i="2"/>
  <c r="BF347" i="2"/>
  <c r="BF346" i="2"/>
  <c r="BF345" i="2"/>
  <c r="BF344" i="2"/>
  <c r="BF343" i="2"/>
  <c r="BF342" i="2"/>
  <c r="BF341" i="2"/>
  <c r="BF340" i="2"/>
  <c r="BF339" i="2"/>
  <c r="BF338" i="2"/>
  <c r="BF337" i="2"/>
  <c r="BF336" i="2"/>
  <c r="BF335" i="2"/>
  <c r="BF334" i="2"/>
  <c r="BF333" i="2"/>
  <c r="BF332" i="2"/>
  <c r="BF331" i="2"/>
  <c r="BF330" i="2"/>
  <c r="BF329" i="2"/>
  <c r="BF328" i="2"/>
  <c r="BF327" i="2"/>
  <c r="BF326" i="2"/>
  <c r="BF325" i="2"/>
  <c r="BF324" i="2"/>
  <c r="BF386" i="2"/>
  <c r="BG87" i="2" l="1"/>
  <c r="BG86" i="2"/>
  <c r="BH380" i="2"/>
  <c r="BH385" i="2" s="1"/>
  <c r="BH323" i="2" s="1"/>
  <c r="BG348" i="2"/>
  <c r="BG347" i="2"/>
  <c r="BG346" i="2"/>
  <c r="BG345" i="2"/>
  <c r="BG344" i="2"/>
  <c r="BG343" i="2"/>
  <c r="BG342" i="2"/>
  <c r="BG341" i="2"/>
  <c r="BG340" i="2"/>
  <c r="BG339" i="2"/>
  <c r="BG338" i="2"/>
  <c r="BG337" i="2"/>
  <c r="BG336" i="2"/>
  <c r="BG335" i="2"/>
  <c r="BG334" i="2"/>
  <c r="BG333" i="2"/>
  <c r="BG332" i="2"/>
  <c r="BG331" i="2"/>
  <c r="BG330" i="2"/>
  <c r="BG329" i="2"/>
  <c r="BG328" i="2"/>
  <c r="BG327" i="2"/>
  <c r="BG326" i="2"/>
  <c r="BG325" i="2"/>
  <c r="BG324" i="2"/>
  <c r="BG386" i="2"/>
  <c r="BH87" i="2" l="1"/>
  <c r="BH86" i="2"/>
  <c r="BI380" i="2"/>
  <c r="BI385" i="2" s="1"/>
  <c r="BI323" i="2" s="1"/>
  <c r="BH348" i="2"/>
  <c r="BH347" i="2"/>
  <c r="BH346" i="2"/>
  <c r="BH345" i="2"/>
  <c r="BH344" i="2"/>
  <c r="BH343" i="2"/>
  <c r="BH342" i="2"/>
  <c r="BH341" i="2"/>
  <c r="BH340" i="2"/>
  <c r="BH339" i="2"/>
  <c r="BH338" i="2"/>
  <c r="BH337" i="2"/>
  <c r="BH336" i="2"/>
  <c r="BH335" i="2"/>
  <c r="BH334" i="2"/>
  <c r="BH333" i="2"/>
  <c r="BH332" i="2"/>
  <c r="BH331" i="2"/>
  <c r="BH330" i="2"/>
  <c r="BH329" i="2"/>
  <c r="BH328" i="2"/>
  <c r="BH327" i="2"/>
  <c r="BH326" i="2"/>
  <c r="BH325" i="2"/>
  <c r="BH324" i="2"/>
  <c r="BH386" i="2"/>
  <c r="BI87" i="2" l="1"/>
  <c r="BI86" i="2"/>
  <c r="BJ380" i="2"/>
  <c r="BJ385" i="2" s="1"/>
  <c r="BJ323" i="2" s="1"/>
  <c r="BI348" i="2"/>
  <c r="BI347" i="2"/>
  <c r="BI346" i="2"/>
  <c r="BI345" i="2"/>
  <c r="BI344" i="2"/>
  <c r="BI343" i="2"/>
  <c r="BI342" i="2"/>
  <c r="BI341" i="2"/>
  <c r="BI340" i="2"/>
  <c r="BI339" i="2"/>
  <c r="BI338" i="2"/>
  <c r="BI337" i="2"/>
  <c r="BI336" i="2"/>
  <c r="BI335" i="2"/>
  <c r="BI334" i="2"/>
  <c r="BI333" i="2"/>
  <c r="BI332" i="2"/>
  <c r="BI331" i="2"/>
  <c r="BI330" i="2"/>
  <c r="BI329" i="2"/>
  <c r="BI328" i="2"/>
  <c r="BI327" i="2"/>
  <c r="BI326" i="2"/>
  <c r="BI325" i="2"/>
  <c r="BI324" i="2"/>
  <c r="BI386" i="2"/>
  <c r="BJ87" i="2" l="1"/>
  <c r="BJ86" i="2"/>
  <c r="BK380" i="2"/>
  <c r="BK385" i="2" s="1"/>
  <c r="BK323" i="2" s="1"/>
  <c r="BJ348" i="2"/>
  <c r="BJ347" i="2"/>
  <c r="BJ346" i="2"/>
  <c r="BJ345" i="2"/>
  <c r="BJ344" i="2"/>
  <c r="BJ343" i="2"/>
  <c r="BJ342" i="2"/>
  <c r="BJ341" i="2"/>
  <c r="BJ340" i="2"/>
  <c r="BJ339" i="2"/>
  <c r="BJ338" i="2"/>
  <c r="BJ337" i="2"/>
  <c r="BJ336" i="2"/>
  <c r="BJ335" i="2"/>
  <c r="BJ334" i="2"/>
  <c r="BJ333" i="2"/>
  <c r="BJ332" i="2"/>
  <c r="BJ331" i="2"/>
  <c r="BJ330" i="2"/>
  <c r="BJ329" i="2"/>
  <c r="BJ328" i="2"/>
  <c r="BJ327" i="2"/>
  <c r="BJ326" i="2"/>
  <c r="BJ325" i="2"/>
  <c r="BJ324" i="2"/>
  <c r="BJ386" i="2"/>
  <c r="BK87" i="2" l="1"/>
  <c r="BK86" i="2"/>
  <c r="BL380" i="2"/>
  <c r="BL385" i="2" s="1"/>
  <c r="BL323" i="2" s="1"/>
  <c r="Q2" i="3" s="1"/>
  <c r="BK348" i="2"/>
  <c r="BK347" i="2"/>
  <c r="BK346" i="2"/>
  <c r="BK345" i="2"/>
  <c r="BK344" i="2"/>
  <c r="BK343" i="2"/>
  <c r="BK342" i="2"/>
  <c r="BK341" i="2"/>
  <c r="BK340" i="2"/>
  <c r="BK339" i="2"/>
  <c r="BK338" i="2"/>
  <c r="BK337" i="2"/>
  <c r="BK336" i="2"/>
  <c r="BK335" i="2"/>
  <c r="BK334" i="2"/>
  <c r="BK333" i="2"/>
  <c r="BK332" i="2"/>
  <c r="BK331" i="2"/>
  <c r="BK330" i="2"/>
  <c r="BK329" i="2"/>
  <c r="BK328" i="2"/>
  <c r="BK327" i="2"/>
  <c r="BK326" i="2"/>
  <c r="BK325" i="2"/>
  <c r="BK324" i="2"/>
  <c r="BK386" i="2"/>
  <c r="BR50" i="2" l="1"/>
  <c r="BR47" i="2"/>
  <c r="BR100" i="2"/>
  <c r="BR99" i="2"/>
  <c r="BR98" i="2"/>
  <c r="BR97" i="2"/>
  <c r="BR96" i="2"/>
  <c r="BR95" i="2"/>
  <c r="BR87" i="2"/>
  <c r="BR86" i="2"/>
  <c r="BR85" i="2"/>
  <c r="BR63" i="2"/>
  <c r="BR62" i="2"/>
  <c r="BR52" i="2"/>
  <c r="BR51" i="2"/>
  <c r="BR49" i="2"/>
  <c r="BR48" i="2"/>
  <c r="M14" i="3"/>
  <c r="I14" i="3"/>
  <c r="B12" i="3"/>
  <c r="I11" i="3"/>
  <c r="BL87" i="2"/>
  <c r="BL86" i="2"/>
  <c r="BL348" i="2"/>
  <c r="BL347" i="2"/>
  <c r="BL346" i="2"/>
  <c r="BL345" i="2"/>
  <c r="BL344" i="2"/>
  <c r="BL343" i="2"/>
  <c r="BL342" i="2"/>
  <c r="BL341" i="2"/>
  <c r="BL340" i="2"/>
  <c r="BL339" i="2"/>
  <c r="BL338" i="2"/>
  <c r="BL337" i="2"/>
  <c r="BL336" i="2"/>
  <c r="BL335" i="2"/>
  <c r="BL334" i="2"/>
  <c r="BL333" i="2"/>
  <c r="BL332" i="2"/>
  <c r="BL331" i="2"/>
  <c r="BL330" i="2"/>
  <c r="BL329" i="2"/>
  <c r="BL328" i="2"/>
  <c r="BL327" i="2"/>
  <c r="BL326" i="2"/>
  <c r="BL325" i="2"/>
  <c r="BL324" i="2"/>
  <c r="BL386" i="2"/>
  <c r="Q3" i="3"/>
  <c r="BS9" i="2" l="1"/>
  <c r="BV9" i="2"/>
  <c r="BW9" i="2"/>
  <c r="BW10" i="2"/>
  <c r="BV11" i="2"/>
  <c r="BS12" i="2"/>
  <c r="BV12" i="2"/>
  <c r="BV13" i="2"/>
  <c r="BS14" i="2"/>
  <c r="BW14" i="2"/>
  <c r="BS15" i="2"/>
  <c r="BV15" i="2"/>
  <c r="BS16" i="2"/>
  <c r="BV17" i="2"/>
  <c r="BS18" i="2"/>
  <c r="BV19" i="2"/>
  <c r="BS20" i="2"/>
  <c r="BW20" i="2"/>
  <c r="BS22" i="2"/>
  <c r="BV22" i="2"/>
  <c r="BS10" i="2"/>
  <c r="BV10" i="2"/>
  <c r="BS11" i="2"/>
  <c r="BW11" i="2"/>
  <c r="BW12" i="2"/>
  <c r="BS13" i="2"/>
  <c r="BW13" i="2"/>
  <c r="BV14" i="2"/>
  <c r="BW15" i="2"/>
  <c r="BV16" i="2"/>
  <c r="BW16" i="2"/>
  <c r="BS17" i="2"/>
  <c r="BW17" i="2"/>
  <c r="BV18" i="2"/>
  <c r="BW18" i="2"/>
  <c r="BS19" i="2"/>
  <c r="BW19" i="2"/>
  <c r="BV20" i="2"/>
  <c r="BS21" i="2"/>
  <c r="BV21" i="2"/>
  <c r="BW21" i="2"/>
  <c r="BW46" i="2"/>
  <c r="BS47" i="2"/>
  <c r="BW47" i="2"/>
  <c r="BW48" i="2"/>
  <c r="BS49" i="2"/>
  <c r="BV49" i="2"/>
  <c r="BW49" i="2"/>
  <c r="BS50" i="2"/>
  <c r="BV50" i="2"/>
  <c r="BW50" i="2"/>
  <c r="BS51" i="2"/>
  <c r="BV51" i="2"/>
  <c r="BS52" i="2"/>
  <c r="BV52" i="2"/>
  <c r="BW52" i="2"/>
  <c r="BS53" i="2"/>
  <c r="BV53" i="2"/>
  <c r="BW53" i="2"/>
  <c r="BS54" i="2"/>
  <c r="BV54" i="2"/>
  <c r="BS55" i="2"/>
  <c r="BV55" i="2"/>
  <c r="BW55" i="2"/>
  <c r="BS56" i="2"/>
  <c r="BV56" i="2"/>
  <c r="BW56" i="2"/>
  <c r="BS57" i="2"/>
  <c r="BV57" i="2"/>
  <c r="BW57" i="2"/>
  <c r="BS58" i="2"/>
  <c r="BV58" i="2"/>
  <c r="BW58" i="2"/>
  <c r="BS59" i="2"/>
  <c r="BV59" i="2"/>
  <c r="BW59" i="2"/>
  <c r="BS60" i="2"/>
  <c r="BV60" i="2"/>
  <c r="BW60" i="2"/>
  <c r="BS61" i="2"/>
  <c r="BV61" i="2"/>
  <c r="BW61" i="2"/>
  <c r="BS62" i="2"/>
  <c r="BV62" i="2"/>
  <c r="BW62" i="2"/>
  <c r="BS63" i="2"/>
  <c r="BV63" i="2"/>
  <c r="BW63" i="2"/>
  <c r="BS64" i="2"/>
  <c r="BV64" i="2"/>
  <c r="BW64" i="2"/>
  <c r="BS65" i="2"/>
  <c r="BV65" i="2"/>
  <c r="BW65" i="2"/>
  <c r="BS66" i="2"/>
  <c r="BV66" i="2"/>
  <c r="BW66" i="2"/>
  <c r="BS67" i="2"/>
  <c r="BV67" i="2"/>
  <c r="BW67" i="2"/>
  <c r="BS68" i="2"/>
  <c r="BV68" i="2"/>
  <c r="BW68" i="2"/>
  <c r="BW22" i="2"/>
  <c r="BS23" i="2"/>
  <c r="BV23" i="2"/>
  <c r="BW23" i="2"/>
  <c r="BS24" i="2"/>
  <c r="BV24" i="2"/>
  <c r="BW24" i="2"/>
  <c r="BS25" i="2"/>
  <c r="BV25" i="2"/>
  <c r="BW25" i="2"/>
  <c r="BS26" i="2"/>
  <c r="BV26" i="2"/>
  <c r="BW26" i="2"/>
  <c r="BS27" i="2"/>
  <c r="BV27" i="2"/>
  <c r="BW27" i="2"/>
  <c r="BS28" i="2"/>
  <c r="BV28" i="2"/>
  <c r="BW28" i="2"/>
  <c r="BS29" i="2"/>
  <c r="BV29" i="2"/>
  <c r="BW29" i="2"/>
  <c r="BS30" i="2"/>
  <c r="BV30" i="2"/>
  <c r="BW30" i="2"/>
  <c r="BS31" i="2"/>
  <c r="BV31" i="2"/>
  <c r="BW31" i="2"/>
  <c r="BS32" i="2"/>
  <c r="BV32" i="2"/>
  <c r="BW32" i="2"/>
  <c r="BS33" i="2"/>
  <c r="BV33" i="2"/>
  <c r="BW33" i="2"/>
  <c r="BS34" i="2"/>
  <c r="BV34" i="2"/>
  <c r="BW34" i="2"/>
  <c r="BS35" i="2"/>
  <c r="BV35" i="2"/>
  <c r="BW35" i="2"/>
  <c r="BS36" i="2"/>
  <c r="BV36" i="2"/>
  <c r="BW36" i="2"/>
  <c r="BS37" i="2"/>
  <c r="BV37" i="2"/>
  <c r="BW37" i="2"/>
  <c r="BS38" i="2"/>
  <c r="BV38" i="2"/>
  <c r="BW38" i="2"/>
  <c r="BS39" i="2"/>
  <c r="BV39" i="2"/>
  <c r="BW39" i="2"/>
  <c r="BS40" i="2"/>
  <c r="BV40" i="2"/>
  <c r="BW40" i="2"/>
  <c r="BS41" i="2"/>
  <c r="BV41" i="2"/>
  <c r="BW41" i="2"/>
  <c r="BS42" i="2"/>
  <c r="BV42" i="2"/>
  <c r="BW42" i="2"/>
  <c r="BS43" i="2"/>
  <c r="BV43" i="2"/>
  <c r="BW43" i="2"/>
  <c r="BS44" i="2"/>
  <c r="BV44" i="2"/>
  <c r="BW44" i="2"/>
  <c r="BS45" i="2"/>
  <c r="BV45" i="2"/>
  <c r="BW45" i="2"/>
  <c r="BS46" i="2"/>
  <c r="BV46" i="2"/>
  <c r="BV47" i="2"/>
  <c r="BS48" i="2"/>
  <c r="BV48" i="2"/>
  <c r="BW51" i="2"/>
  <c r="BW54" i="2"/>
  <c r="BT9" i="2" l="1"/>
  <c r="BU9" i="2"/>
  <c r="BT12" i="2"/>
  <c r="BU12" i="2"/>
  <c r="BT14" i="2"/>
  <c r="BU14" i="2"/>
  <c r="BT15" i="2"/>
  <c r="BU15" i="2"/>
  <c r="BU16" i="2"/>
  <c r="BT16" i="2"/>
  <c r="BU18" i="2"/>
  <c r="BT18" i="2"/>
  <c r="BU20" i="2"/>
  <c r="BT20" i="2"/>
  <c r="BU22" i="2"/>
  <c r="BT22" i="2"/>
  <c r="BU10" i="2"/>
  <c r="BT10" i="2"/>
  <c r="BU11" i="2"/>
  <c r="BT11" i="2"/>
  <c r="BU13" i="2"/>
  <c r="BT13" i="2"/>
  <c r="BT17" i="2"/>
  <c r="BU17" i="2"/>
  <c r="BU19" i="2"/>
  <c r="BT19" i="2"/>
  <c r="BU21" i="2"/>
  <c r="BT21" i="2"/>
  <c r="BT47" i="2"/>
  <c r="BU47" i="2"/>
  <c r="BU49" i="2"/>
  <c r="BT49" i="2"/>
  <c r="BT50" i="2"/>
  <c r="BU50" i="2"/>
  <c r="BU51" i="2"/>
  <c r="BT51" i="2"/>
  <c r="BT52" i="2"/>
  <c r="BU52" i="2"/>
  <c r="BT53" i="2"/>
  <c r="BU53" i="2"/>
  <c r="BT54" i="2"/>
  <c r="BU54" i="2"/>
  <c r="BT55" i="2"/>
  <c r="BU55" i="2"/>
  <c r="BT56" i="2"/>
  <c r="BU56" i="2"/>
  <c r="BT57" i="2"/>
  <c r="BU57" i="2"/>
  <c r="BT58" i="2"/>
  <c r="BU58" i="2"/>
  <c r="BT59" i="2"/>
  <c r="BU59" i="2"/>
  <c r="BT60" i="2"/>
  <c r="BU60" i="2"/>
  <c r="BT61" i="2"/>
  <c r="BU61" i="2"/>
  <c r="BT62" i="2"/>
  <c r="BU62" i="2"/>
  <c r="BT63" i="2"/>
  <c r="BU63" i="2"/>
  <c r="BT64" i="2"/>
  <c r="BU64" i="2"/>
  <c r="BT65" i="2"/>
  <c r="BU65" i="2"/>
  <c r="BT66" i="2"/>
  <c r="BU66" i="2"/>
  <c r="BT67" i="2"/>
  <c r="BU67" i="2"/>
  <c r="BT68" i="2"/>
  <c r="BU68" i="2"/>
  <c r="BT23" i="2"/>
  <c r="BU23" i="2"/>
  <c r="BT24" i="2"/>
  <c r="BU24" i="2"/>
  <c r="BT25" i="2"/>
  <c r="BU25" i="2"/>
  <c r="BT26" i="2"/>
  <c r="BU26" i="2"/>
  <c r="BT27" i="2"/>
  <c r="BU27" i="2"/>
  <c r="BT28" i="2"/>
  <c r="BU28" i="2"/>
  <c r="BT29" i="2"/>
  <c r="BU29" i="2"/>
  <c r="BT30" i="2"/>
  <c r="BU30" i="2"/>
  <c r="BT31" i="2"/>
  <c r="BU31" i="2"/>
  <c r="BT32" i="2"/>
  <c r="BU32" i="2"/>
  <c r="BT33" i="2"/>
  <c r="BU33" i="2"/>
  <c r="BT34" i="2"/>
  <c r="BU34" i="2"/>
  <c r="BT35" i="2"/>
  <c r="BU35" i="2"/>
  <c r="BT36" i="2"/>
  <c r="BU36" i="2"/>
  <c r="BT37" i="2"/>
  <c r="BU37" i="2"/>
  <c r="BT38" i="2"/>
  <c r="BU38" i="2"/>
  <c r="BT39" i="2"/>
  <c r="BU39" i="2"/>
  <c r="BT40" i="2"/>
  <c r="BU40" i="2"/>
  <c r="BT41" i="2"/>
  <c r="BU41" i="2"/>
  <c r="BT42" i="2"/>
  <c r="BU42" i="2"/>
  <c r="BT43" i="2"/>
  <c r="BU43" i="2"/>
  <c r="BT44" i="2"/>
  <c r="BU44" i="2"/>
  <c r="BT45" i="2"/>
  <c r="BU45" i="2"/>
  <c r="BT46" i="2"/>
  <c r="BU46" i="2"/>
  <c r="BT48" i="2"/>
  <c r="BU4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Money with Helmy</author>
  </authors>
  <commentList>
    <comment ref="D10" authorId="0" shapeId="0" xr:uid="{00000000-0006-0000-0100-000001000000}">
      <text>
        <r>
          <rPr>
            <sz val="11"/>
            <color theme="1"/>
            <rFont val="Calibri"/>
            <family val="2"/>
            <scheme val="minor"/>
          </rPr>
          <t>Adjustment % keeps that share of value in the adjusted estimate: 80% of EGP 200,000 = EGP 160,000. Blank = 100% for owned assets. Standard net worth is unchanged. Unvested RSUs: blank = 0% in the optional scenario; enter a percentage to include them. They never count in standard net worth. Applies across all months. Debts remain fully deductible.</t>
        </r>
      </text>
    </comment>
    <comment ref="E10" authorId="0" shapeId="0" xr:uid="{00000000-0006-0000-0100-000002000000}">
      <text>
        <r>
          <rPr>
            <sz val="11"/>
            <color theme="1"/>
            <rFont val="Calibri"/>
            <family val="2"/>
            <scheme val="minor"/>
          </rPr>
          <t>Set the first month before entering balances. Changing this date later relabels existing history; it does not move balances.</t>
        </r>
      </text>
    </comment>
    <comment ref="B29" authorId="0" shapeId="0" xr:uid="{00000000-0006-0000-0100-000003000000}">
      <text>
        <r>
          <rPr>
            <sz val="11"/>
            <color theme="1"/>
            <rFont val="Calibri"/>
            <family val="2"/>
            <scheme val="minor"/>
          </rPr>
          <t>Do not repeat vested shares already included in a brokerage total. Unvested awards are contingent and excluded from standard and adjusted current net worth.</t>
        </r>
      </text>
    </comment>
    <comment ref="B30" authorId="0" shapeId="0" xr:uid="{00000000-0006-0000-0100-000004000000}">
      <text>
        <r>
          <rPr>
            <sz val="11"/>
            <color theme="1"/>
            <rFont val="Calibri"/>
            <family val="2"/>
            <scheme val="minor"/>
          </rPr>
          <t>Do not repeat vested shares already included in a brokerage total. Unvested awards are contingent and excluded from standard and adjusted current net worth.</t>
        </r>
      </text>
    </comment>
    <comment ref="D30" authorId="0" shapeId="0" xr:uid="{00000000-0006-0000-0100-000005000000}">
      <text>
        <r>
          <rPr>
            <sz val="11"/>
            <color theme="1"/>
            <rFont val="Calibri"/>
            <family val="2"/>
            <scheme val="minor"/>
          </rPr>
          <t>Unvested RSUs: blank = 0% in the optional scenario; enter a percentage to include them. They never count in standard net worth.</t>
        </r>
      </text>
    </comment>
    <comment ref="D43" authorId="0" shapeId="0" xr:uid="{00000000-0006-0000-0100-000006000000}">
      <text>
        <r>
          <rPr>
            <sz val="11"/>
            <color theme="1"/>
            <rFont val="Calibri"/>
            <family val="2"/>
            <scheme val="minor"/>
          </rPr>
          <t>Not used for debts. The full outstanding balance is always deducted.</t>
        </r>
      </text>
    </comment>
    <comment ref="D44" authorId="0" shapeId="0" xr:uid="{00000000-0006-0000-0100-000007000000}">
      <text>
        <r>
          <rPr>
            <sz val="11"/>
            <color theme="1"/>
            <rFont val="Calibri"/>
            <family val="2"/>
            <scheme val="minor"/>
          </rPr>
          <t>Not used for debts. The full outstanding balance is always deducted.</t>
        </r>
      </text>
    </comment>
    <comment ref="D45" authorId="0" shapeId="0" xr:uid="{00000000-0006-0000-0100-000008000000}">
      <text>
        <r>
          <rPr>
            <sz val="11"/>
            <color theme="1"/>
            <rFont val="Calibri"/>
            <family val="2"/>
            <scheme val="minor"/>
          </rPr>
          <t>Not used for debts. The full outstanding balance is always deducted.</t>
        </r>
      </text>
    </comment>
    <comment ref="D46" authorId="0" shapeId="0" xr:uid="{00000000-0006-0000-0100-000009000000}">
      <text>
        <r>
          <rPr>
            <sz val="11"/>
            <color theme="1"/>
            <rFont val="Calibri"/>
            <family val="2"/>
            <scheme val="minor"/>
          </rPr>
          <t>Not used for debts. The full outstanding balance is always deducted.</t>
        </r>
      </text>
    </comment>
    <comment ref="D47" authorId="0" shapeId="0" xr:uid="{00000000-0006-0000-0100-00000A000000}">
      <text>
        <r>
          <rPr>
            <sz val="11"/>
            <color theme="1"/>
            <rFont val="Calibri"/>
            <family val="2"/>
            <scheme val="minor"/>
          </rPr>
          <t>Not used for debts. The full outstanding balance is always deducted.</t>
        </r>
      </text>
    </comment>
    <comment ref="D48" authorId="0" shapeId="0" xr:uid="{00000000-0006-0000-0100-00000B000000}">
      <text>
        <r>
          <rPr>
            <sz val="11"/>
            <color theme="1"/>
            <rFont val="Calibri"/>
            <family val="2"/>
            <scheme val="minor"/>
          </rPr>
          <t>Not used for debts. The full outstanding balance is always deducted.</t>
        </r>
      </text>
    </comment>
    <comment ref="D49" authorId="0" shapeId="0" xr:uid="{00000000-0006-0000-0100-00000C000000}">
      <text>
        <r>
          <rPr>
            <sz val="11"/>
            <color theme="1"/>
            <rFont val="Calibri"/>
            <family val="2"/>
            <scheme val="minor"/>
          </rPr>
          <t>Not used for debts. The full outstanding balance is always deducted.</t>
        </r>
      </text>
    </comment>
    <comment ref="D50" authorId="0" shapeId="0" xr:uid="{00000000-0006-0000-0100-00000D000000}">
      <text>
        <r>
          <rPr>
            <sz val="11"/>
            <color theme="1"/>
            <rFont val="Calibri"/>
            <family val="2"/>
            <scheme val="minor"/>
          </rPr>
          <t>Not used for debts. The full outstanding balance is always deducted.</t>
        </r>
      </text>
    </comment>
    <comment ref="B56" authorId="0" shapeId="0" xr:uid="{00000000-0006-0000-0100-00000E000000}">
      <text>
        <r>
          <rPr>
            <sz val="11"/>
            <color theme="1"/>
            <rFont val="Calibri"/>
            <family val="2"/>
            <scheme val="minor"/>
          </rPr>
          <t>Default chart group: Investments; liquidity: Limited. Renaming the account does not change these defaults. Do not repeat a holding already entered.</t>
        </r>
      </text>
    </comment>
    <comment ref="B57" authorId="0" shapeId="0" xr:uid="{00000000-0006-0000-0100-00000F000000}">
      <text>
        <r>
          <rPr>
            <sz val="11"/>
            <color theme="1"/>
            <rFont val="Calibri"/>
            <family val="2"/>
            <scheme val="minor"/>
          </rPr>
          <t>Default chart group: Investments; liquidity: Limited. Renaming the account does not change these defaults. Do not repeat a holding already entered.</t>
        </r>
      </text>
    </comment>
    <comment ref="B58" authorId="0" shapeId="0" xr:uid="{00000000-0006-0000-0100-000010000000}">
      <text>
        <r>
          <rPr>
            <sz val="11"/>
            <color theme="1"/>
            <rFont val="Calibri"/>
            <family val="2"/>
            <scheme val="minor"/>
          </rPr>
          <t>Default chart group: Investments; liquidity: Limited. Renaming the account does not change these defaults. Do not repeat a holding already entered.</t>
        </r>
      </text>
    </comment>
    <comment ref="B64" authorId="0" shapeId="0" xr:uid="{00000000-0006-0000-0100-000011000000}">
      <text>
        <r>
          <rPr>
            <sz val="11"/>
            <color theme="1"/>
            <rFont val="Calibri"/>
            <family val="2"/>
            <scheme val="minor"/>
          </rPr>
          <t>Default chart group: Other; liquidity: Illiquid. Renaming the account does not change these defaults. Do not repeat a holding already entered.</t>
        </r>
      </text>
    </comment>
    <comment ref="B65" authorId="0" shapeId="0" xr:uid="{00000000-0006-0000-0100-000012000000}">
      <text>
        <r>
          <rPr>
            <sz val="11"/>
            <color theme="1"/>
            <rFont val="Calibri"/>
            <family val="2"/>
            <scheme val="minor"/>
          </rPr>
          <t>Default chart group: Other; liquidity: Illiquid. Renaming the account does not change these defaults. Do not repeat a holding already entered.</t>
        </r>
      </text>
    </comment>
    <comment ref="B66" authorId="0" shapeId="0" xr:uid="{00000000-0006-0000-0100-000013000000}">
      <text>
        <r>
          <rPr>
            <sz val="11"/>
            <color theme="1"/>
            <rFont val="Calibri"/>
            <family val="2"/>
            <scheme val="minor"/>
          </rPr>
          <t>Default chart group: Other; liquidity: Illiquid. Renaming the account does not change these defaults. Do not repeat a holding already entered.</t>
        </r>
      </text>
    </comment>
    <comment ref="B67" authorId="0" shapeId="0" xr:uid="{00000000-0006-0000-0100-000014000000}">
      <text>
        <r>
          <rPr>
            <sz val="11"/>
            <color theme="1"/>
            <rFont val="Calibri"/>
            <family val="2"/>
            <scheme val="minor"/>
          </rPr>
          <t>Default chart group: Other; liquidity: Illiquid. Renaming the account does not change these defaults. Do not repeat a holding already entered.</t>
        </r>
      </text>
    </comment>
    <comment ref="B68" authorId="0" shapeId="0" xr:uid="{00000000-0006-0000-0100-000015000000}">
      <text>
        <r>
          <rPr>
            <sz val="11"/>
            <color theme="1"/>
            <rFont val="Calibri"/>
            <family val="2"/>
            <scheme val="minor"/>
          </rPr>
          <t>Default chart group: Other; liquidity: Illiquid. Renaming the account does not change these defaults. Do not repeat a holding already entered.</t>
        </r>
      </text>
    </comment>
    <comment ref="B69" authorId="0" shapeId="0" xr:uid="{00000000-0006-0000-0100-000016000000}">
      <text>
        <r>
          <rPr>
            <sz val="11"/>
            <color theme="1"/>
            <rFont val="Calibri"/>
            <family val="2"/>
            <scheme val="minor"/>
          </rPr>
          <t>Default chart group: Other; liquidity: Illiquid. Renaming the account does not change these defaults. Do not repeat a holding already entered.</t>
        </r>
      </text>
    </comment>
    <comment ref="B70" authorId="0" shapeId="0" xr:uid="{00000000-0006-0000-0100-000017000000}">
      <text>
        <r>
          <rPr>
            <sz val="11"/>
            <color theme="1"/>
            <rFont val="Calibri"/>
            <family val="2"/>
            <scheme val="minor"/>
          </rPr>
          <t>Default chart group: Other; liquidity: Illiquid. Renaming the account does not change these defaults. Do not repeat a holding already entered.</t>
        </r>
      </text>
    </comment>
    <comment ref="B71" authorId="0" shapeId="0" xr:uid="{00000000-0006-0000-0100-000018000000}">
      <text>
        <r>
          <rPr>
            <sz val="11"/>
            <color theme="1"/>
            <rFont val="Calibri"/>
            <family val="2"/>
            <scheme val="minor"/>
          </rPr>
          <t>Default chart group: Other; liquidity: Illiquid. Renaming the account does not change these defaults. Do not repeat a holding already entered.</t>
        </r>
      </text>
    </comment>
    <comment ref="B74" authorId="0" shapeId="0" xr:uid="{00000000-0006-0000-0100-000019000000}">
      <text>
        <r>
          <rPr>
            <sz val="11"/>
            <color theme="1"/>
            <rFont val="Calibri"/>
            <family val="2"/>
            <scheme val="minor"/>
          </rPr>
          <t>Default chart group: Debt; liquidity: N/A. Renaming the account does not change these defaults. Do not repeat a holding already entered.</t>
        </r>
      </text>
    </comment>
    <comment ref="D74" authorId="0" shapeId="0" xr:uid="{00000000-0006-0000-0100-00001A000000}">
      <text>
        <r>
          <rPr>
            <sz val="11"/>
            <color theme="1"/>
            <rFont val="Calibri"/>
            <family val="2"/>
            <scheme val="minor"/>
          </rPr>
          <t>Not used for debts. The full outstanding balance is always deducted.</t>
        </r>
      </text>
    </comment>
    <comment ref="B75" authorId="0" shapeId="0" xr:uid="{00000000-0006-0000-0100-00001B000000}">
      <text>
        <r>
          <rPr>
            <sz val="11"/>
            <color theme="1"/>
            <rFont val="Calibri"/>
            <family val="2"/>
            <scheme val="minor"/>
          </rPr>
          <t>Default chart group: Debt; liquidity: N/A. Renaming the account does not change these defaults. Do not repeat a holding already entered.</t>
        </r>
      </text>
    </comment>
    <comment ref="D75" authorId="0" shapeId="0" xr:uid="{00000000-0006-0000-0100-00001C000000}">
      <text>
        <r>
          <rPr>
            <sz val="11"/>
            <color theme="1"/>
            <rFont val="Calibri"/>
            <family val="2"/>
            <scheme val="minor"/>
          </rPr>
          <t>Not used for debts. The full outstanding balance is always deducted.</t>
        </r>
      </text>
    </comment>
    <comment ref="B76" authorId="0" shapeId="0" xr:uid="{00000000-0006-0000-0100-00001D000000}">
      <text>
        <r>
          <rPr>
            <sz val="11"/>
            <color theme="1"/>
            <rFont val="Calibri"/>
            <family val="2"/>
            <scheme val="minor"/>
          </rPr>
          <t>Default chart group: Debt; liquidity: N/A. Renaming the account does not change these defaults. Do not repeat a holding already entered.</t>
        </r>
      </text>
    </comment>
    <comment ref="D76" authorId="0" shapeId="0" xr:uid="{00000000-0006-0000-0100-00001E000000}">
      <text>
        <r>
          <rPr>
            <sz val="11"/>
            <color theme="1"/>
            <rFont val="Calibri"/>
            <family val="2"/>
            <scheme val="minor"/>
          </rPr>
          <t>Not used for debts. The full outstanding balance is always deducted.</t>
        </r>
      </text>
    </comment>
    <comment ref="B77" authorId="0" shapeId="0" xr:uid="{00000000-0006-0000-0100-00001F000000}">
      <text>
        <r>
          <rPr>
            <sz val="11"/>
            <color theme="1"/>
            <rFont val="Calibri"/>
            <family val="2"/>
            <scheme val="minor"/>
          </rPr>
          <t>Default chart group: Debt; liquidity: N/A. Renaming the account does not change these defaults. Do not repeat a holding already entered.</t>
        </r>
      </text>
    </comment>
    <comment ref="D77" authorId="0" shapeId="0" xr:uid="{00000000-0006-0000-0100-000020000000}">
      <text>
        <r>
          <rPr>
            <sz val="11"/>
            <color theme="1"/>
            <rFont val="Calibri"/>
            <family val="2"/>
            <scheme val="minor"/>
          </rPr>
          <t>Not used for debts. The full outstanding balance is always deducted.</t>
        </r>
      </text>
    </comment>
    <comment ref="B78" authorId="0" shapeId="0" xr:uid="{00000000-0006-0000-0100-000021000000}">
      <text>
        <r>
          <rPr>
            <sz val="11"/>
            <color theme="1"/>
            <rFont val="Calibri"/>
            <family val="2"/>
            <scheme val="minor"/>
          </rPr>
          <t>Default chart group: Debt; liquidity: N/A. Renaming the account does not change these defaults. Do not repeat a holding already entered.</t>
        </r>
      </text>
    </comment>
    <comment ref="D78" authorId="0" shapeId="0" xr:uid="{00000000-0006-0000-0100-000022000000}">
      <text>
        <r>
          <rPr>
            <sz val="11"/>
            <color theme="1"/>
            <rFont val="Calibri"/>
            <family val="2"/>
            <scheme val="minor"/>
          </rPr>
          <t>Not used for debts. The full outstanding balance is always deducted.</t>
        </r>
      </text>
    </comment>
    <comment ref="B79" authorId="0" shapeId="0" xr:uid="{00000000-0006-0000-0100-000023000000}">
      <text>
        <r>
          <rPr>
            <sz val="11"/>
            <color theme="1"/>
            <rFont val="Calibri"/>
            <family val="2"/>
            <scheme val="minor"/>
          </rPr>
          <t>Default chart group: Debt; liquidity: N/A. Renaming the account does not change these defaults. Do not repeat a holding already entered.</t>
        </r>
      </text>
    </comment>
    <comment ref="D79" authorId="0" shapeId="0" xr:uid="{00000000-0006-0000-0100-000024000000}">
      <text>
        <r>
          <rPr>
            <sz val="11"/>
            <color theme="1"/>
            <rFont val="Calibri"/>
            <family val="2"/>
            <scheme val="minor"/>
          </rPr>
          <t>Not used for debts. The full outstanding balance is always deducted.</t>
        </r>
      </text>
    </comment>
    <comment ref="B80" authorId="0" shapeId="0" xr:uid="{00000000-0006-0000-0100-000025000000}">
      <text>
        <r>
          <rPr>
            <sz val="11"/>
            <color theme="1"/>
            <rFont val="Calibri"/>
            <family val="2"/>
            <scheme val="minor"/>
          </rPr>
          <t>Default chart group: Debt; liquidity: N/A. Renaming the account does not change these defaults. Do not repeat a holding already entered.</t>
        </r>
      </text>
    </comment>
    <comment ref="D80" authorId="0" shapeId="0" xr:uid="{00000000-0006-0000-0100-000026000000}">
      <text>
        <r>
          <rPr>
            <sz val="11"/>
            <color theme="1"/>
            <rFont val="Calibri"/>
            <family val="2"/>
            <scheme val="minor"/>
          </rPr>
          <t>Not used for debts. The full outstanding balance is always deducted.</t>
        </r>
      </text>
    </comment>
    <comment ref="B81" authorId="0" shapeId="0" xr:uid="{00000000-0006-0000-0100-000027000000}">
      <text>
        <r>
          <rPr>
            <sz val="11"/>
            <color theme="1"/>
            <rFont val="Calibri"/>
            <family val="2"/>
            <scheme val="minor"/>
          </rPr>
          <t>Default chart group: Debt; liquidity: N/A. Renaming the account does not change these defaults. Do not repeat a holding already entered.</t>
        </r>
      </text>
    </comment>
    <comment ref="D81" authorId="0" shapeId="0" xr:uid="{00000000-0006-0000-0100-000028000000}">
      <text>
        <r>
          <rPr>
            <sz val="11"/>
            <color theme="1"/>
            <rFont val="Calibri"/>
            <family val="2"/>
            <scheme val="minor"/>
          </rPr>
          <t>Not used for debts. The full outstanding balance is always deducted.</t>
        </r>
      </text>
    </comment>
  </commentList>
</comments>
</file>

<file path=xl/sharedStrings.xml><?xml version="1.0" encoding="utf-8"?>
<sst xmlns="http://schemas.openxmlformats.org/spreadsheetml/2006/main" count="377" uniqueCount="159">
  <si>
    <t>NET WORTH TRACKER  |  EGYPT  ·  SPEND SMART · BUILD WEALTH</t>
  </si>
  <si>
    <t>BLANK TEMPLATE | Enter your own balances.</t>
  </si>
  <si>
    <t>01  ·  HOW TO USE</t>
  </si>
  <si>
    <t>01</t>
  </si>
  <si>
    <t>Choose reporting currency; set the first month heading on My Finances.</t>
  </si>
  <si>
    <t>02</t>
  </si>
  <si>
    <t>Enter each account once, using your share. Enter debts as positive amounts.</t>
  </si>
  <si>
    <t>03</t>
  </si>
  <si>
    <t>Copy the last month; update every used row (0 if closed). Review Dashboard.</t>
  </si>
  <si>
    <t>USD / EGP is the recorded currency. Add a monthly FX rate when converting.</t>
  </si>
  <si>
    <t>Adjustment % keeps that share of value in the adjusted estimate: 80% of EGP 200,000 = EGP 160,000. Blank = 100% for owned assets. Standard net worth is unchanged.</t>
  </si>
  <si>
    <t>Unvested RSUs: blank = 0% in the optional scenario; enter a percentage to include them. They never count in standard net worth.</t>
  </si>
  <si>
    <t>Educational use only. All example figures are fictional. Asset values and exchange rates are estimates. This tool does not provide personalized financial, investment, tax, or legal advice.</t>
  </si>
  <si>
    <t>MY FINANCES  |  EGYPT</t>
  </si>
  <si>
    <t>REPORT IN</t>
  </si>
  <si>
    <t>EGP</t>
  </si>
  <si>
    <t>Update every used row monthly (0 if closed). Extra accounts are below.</t>
  </si>
  <si>
    <t>ACCOUNT</t>
  </si>
  <si>
    <t>CURRENCY</t>
  </si>
  <si>
    <t>ADJUSTMENT %</t>
  </si>
  <si>
    <t>USD / EGP RATE  ·  EGP per $1</t>
  </si>
  <si>
    <t>CASH &amp; BANK ACCOUNTS</t>
  </si>
  <si>
    <t>Checking Account (Egypt)</t>
  </si>
  <si>
    <t>Asset</t>
  </si>
  <si>
    <t>Cash</t>
  </si>
  <si>
    <t>Liquid</t>
  </si>
  <si>
    <t>Savings Account (Egypt)</t>
  </si>
  <si>
    <t>USD Bank Account (Egypt)</t>
  </si>
  <si>
    <t>USD</t>
  </si>
  <si>
    <t>Cash on Hand (EGP)</t>
  </si>
  <si>
    <t>Cash on Hand (USD)</t>
  </si>
  <si>
    <t>SAVINGS CERTIFICATES &amp; DEPOSITS</t>
  </si>
  <si>
    <t>Savings Certificates (EGP)</t>
  </si>
  <si>
    <t>Deposits</t>
  </si>
  <si>
    <t>Limited</t>
  </si>
  <si>
    <t>Savings Certificates (USD)</t>
  </si>
  <si>
    <t>Fixed Deposit (Egypt, EGP)</t>
  </si>
  <si>
    <t>Fixed Deposit (Egypt, USD)</t>
  </si>
  <si>
    <t>BROKERAGE ACCOUNTS</t>
  </si>
  <si>
    <t>Brokerage Account (Egypt)</t>
  </si>
  <si>
    <t>Brokerage</t>
  </si>
  <si>
    <t>Brokerage Account (USD)</t>
  </si>
  <si>
    <t>Vested RSUs</t>
  </si>
  <si>
    <t>Employer Equity</t>
  </si>
  <si>
    <t>Unvested RSUs</t>
  </si>
  <si>
    <t>Contingent</t>
  </si>
  <si>
    <t>N/A</t>
  </si>
  <si>
    <t>PROPERTY</t>
  </si>
  <si>
    <t>Primary Home</t>
  </si>
  <si>
    <t>Property</t>
  </si>
  <si>
    <t>Illiquid</t>
  </si>
  <si>
    <t>Investment Property</t>
  </si>
  <si>
    <t>Other Property</t>
  </si>
  <si>
    <t>Land / Property Under Construction</t>
  </si>
  <si>
    <t>GOLD &amp; PRECIOUS METALS</t>
  </si>
  <si>
    <t>Gold Bars &amp; Coins</t>
  </si>
  <si>
    <t>Gold</t>
  </si>
  <si>
    <t>Gold Jewelry</t>
  </si>
  <si>
    <t>LOANS &amp; DEBTS</t>
  </si>
  <si>
    <t>Primary Home Mortgage</t>
  </si>
  <si>
    <t>Debt</t>
  </si>
  <si>
    <t>Mortgages</t>
  </si>
  <si>
    <t>Investment Property Mortgage</t>
  </si>
  <si>
    <t>Other Property Mortgage</t>
  </si>
  <si>
    <t>Property Installments Outstanding</t>
  </si>
  <si>
    <t>Property Installments</t>
  </si>
  <si>
    <t>Credit Card Balance</t>
  </si>
  <si>
    <t>Credit Cards</t>
  </si>
  <si>
    <t>Cash &amp; Deposits</t>
  </si>
  <si>
    <t>Car Loan</t>
  </si>
  <si>
    <t>Car Loans</t>
  </si>
  <si>
    <t>Brokerages &amp; Investments</t>
  </si>
  <si>
    <t>Personal Loan</t>
  </si>
  <si>
    <t>Personal Loans</t>
  </si>
  <si>
    <t>Retirement &amp; Vested RSUs</t>
  </si>
  <si>
    <t>USD-Denominated Loan</t>
  </si>
  <si>
    <t>Other Debts</t>
  </si>
  <si>
    <t>ADDITIONAL INVESTMENTS  /  OPTIONAL</t>
  </si>
  <si>
    <t>Other Assets</t>
  </si>
  <si>
    <t>Treasury Bills (Egypt)</t>
  </si>
  <si>
    <t>Investments</t>
  </si>
  <si>
    <t>Bonds (Direct Holdings)</t>
  </si>
  <si>
    <t>Mutual Funds / ETFs (Outside Brokerage)</t>
  </si>
  <si>
    <t>Other Investments (rename)</t>
  </si>
  <si>
    <t>Add Investment 1 (rename)</t>
  </si>
  <si>
    <t>Add Investment 2 (rename)</t>
  </si>
  <si>
    <t>ADDITIONAL ASSETS  /  RENAME AS NEEDED</t>
  </si>
  <si>
    <t>Vehicle (Resale Value)</t>
  </si>
  <si>
    <t>Other</t>
  </si>
  <si>
    <t>Business Ownership</t>
  </si>
  <si>
    <t>Other Valuables (Excluding Gold)</t>
  </si>
  <si>
    <t>Add Asset 1 (rename)</t>
  </si>
  <si>
    <t>Add Asset 2 (rename)</t>
  </si>
  <si>
    <t>Add Asset 3 (rename)</t>
  </si>
  <si>
    <t>Add Asset 4 (rename)</t>
  </si>
  <si>
    <t>Add Asset 5 (rename)</t>
  </si>
  <si>
    <t>Add Asset 6 (rename)</t>
  </si>
  <si>
    <t>Add Asset 7 (rename)</t>
  </si>
  <si>
    <t>Add Asset 8 (rename)</t>
  </si>
  <si>
    <t>ADDITIONAL DEBTS  /  RENAME AS NEEDED</t>
  </si>
  <si>
    <t>Add Debt 1 (rename)</t>
  </si>
  <si>
    <t>Add Debt 2 (rename)</t>
  </si>
  <si>
    <t>Add Debt 3 (rename)</t>
  </si>
  <si>
    <t>Add Debt 4 (rename)</t>
  </si>
  <si>
    <t>Add Debt 5 (rename)</t>
  </si>
  <si>
    <t>Add Debt 6 (rename)</t>
  </si>
  <si>
    <t>Add Debt 7 (rename)</t>
  </si>
  <si>
    <t>Add Debt 8 (rename)</t>
  </si>
  <si>
    <t>Enter each holding once. Brokerage totals include the investments inside them.</t>
  </si>
  <si>
    <t>OPTIONAL ADJUSTED TOTALS</t>
  </si>
  <si>
    <t>Adjusted Net Worth</t>
  </si>
  <si>
    <t>Including Unvested RSUs</t>
  </si>
  <si>
    <t>Adjusted totals use your reporting currency. Unvested awards are a scenario, not current wealth.</t>
  </si>
  <si>
    <t>ACTIVE MONTH</t>
  </si>
  <si>
    <t>ASSETS</t>
  </si>
  <si>
    <t>DEBT</t>
  </si>
  <si>
    <t>NET WORTH</t>
  </si>
  <si>
    <t>LIQUID</t>
  </si>
  <si>
    <t>LIMITED</t>
  </si>
  <si>
    <t>ILLIQUID</t>
  </si>
  <si>
    <t>ADJUSTED NET WORTH</t>
  </si>
  <si>
    <t>PLANNING ESTIMATE</t>
  </si>
  <si>
    <t>CASH</t>
  </si>
  <si>
    <t>DEPOSITS</t>
  </si>
  <si>
    <t>BROKERAGE</t>
  </si>
  <si>
    <t>RETIREMENT</t>
  </si>
  <si>
    <t>INVESTMENTS</t>
  </si>
  <si>
    <t>EMPLOYER EQUITY</t>
  </si>
  <si>
    <t>GOLD</t>
  </si>
  <si>
    <t>OTHER</t>
  </si>
  <si>
    <t>CHART / Mortgages</t>
  </si>
  <si>
    <t>CHART / Property Installments</t>
  </si>
  <si>
    <t>CHART / Credit Cards</t>
  </si>
  <si>
    <t>CHART / Car Loans</t>
  </si>
  <si>
    <t>CHART / Personal Loans</t>
  </si>
  <si>
    <t>CHART / Other Debts</t>
  </si>
  <si>
    <t>PRIOR USABLE MONTH</t>
  </si>
  <si>
    <t>NUMERIC BALANCES</t>
  </si>
  <si>
    <t>INVALID STANDARD INPUTS</t>
  </si>
  <si>
    <t>FX NEEDED</t>
  </si>
  <si>
    <t>FX VALID</t>
  </si>
  <si>
    <t>MISSING PRIOR BALANCES</t>
  </si>
  <si>
    <t>USABLE MONTH COUNT</t>
  </si>
  <si>
    <t>LAST ENTERED INDEX</t>
  </si>
  <si>
    <t>INVALID ADJUSTMENTS</t>
  </si>
  <si>
    <t>INVALID CONTINGENT INPUTS</t>
  </si>
  <si>
    <t>INVALID CURRENCY</t>
  </si>
  <si>
    <t>YOUR NET WORTH  |  EGYPT</t>
  </si>
  <si>
    <t>REPORTING IN</t>
  </si>
  <si>
    <t>TOTAL NET WORTH</t>
  </si>
  <si>
    <t>TOTAL ASSETS</t>
  </si>
  <si>
    <t>TOTAL DEBT</t>
  </si>
  <si>
    <t>LIQUID ASSETS</t>
  </si>
  <si>
    <t>NET WORTH OVER TIME</t>
  </si>
  <si>
    <t>ASSET ALLOCATION</t>
  </si>
  <si>
    <t>ASSETS BY CURRENCY  |  USD vs EGP</t>
  </si>
  <si>
    <t>LIQUIDITY</t>
  </si>
  <si>
    <t>DEBT BREAKDOWN</t>
  </si>
  <si>
    <t>Asset values are estimates. The currency chart shows USD- and EGP-denominated assets, not currency risk. Mortgages are recorded separately from property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</si>
</sst>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mmm\ yy"/>
    <numFmt numFmtId="167" formatCode="#,##0;[Red]\(#,##0\);&quot;-&quot;"/>
    <numFmt numFmtId="168" formatCode="#,##0.00;[Red]\(#,##0.00\);\-"/>
    <numFmt numFmtId="169" formatCode="#,##0;[Red]\(#,##0\);\-"/>
  </numFmts>
  <fonts count="25" x14ac:knownFonts="1">
    <font>
      <sz val="11"/>
      <color theme="1"/>
      <name val="Calibri"/>
      <family val="2"/>
      <scheme val="minor"/>
    </font>
    <font>
      <b/>
      <sz val="10"/>
      <color rgb="FFFFFFFF"/>
      <name val="Aptos"/>
    </font>
    <font>
      <b/>
      <sz val="11"/>
      <color rgb="FF142433"/>
      <name val="Aptos"/>
    </font>
    <font>
      <b/>
      <sz val="10"/>
      <color rgb="FF142433"/>
      <name val="Aptos"/>
    </font>
    <font>
      <sz val="10"/>
      <color rgb="FF142433"/>
      <name val="Aptos"/>
    </font>
    <font>
      <b/>
      <u/>
      <sz val="10"/>
      <color rgb="FF526D5B"/>
      <name val="Aptos"/>
    </font>
    <font>
      <b/>
      <sz val="11"/>
      <color rgb="FFFFFFFF"/>
      <name val="Aptos"/>
    </font>
    <font>
      <sz val="10"/>
      <color rgb="FF5F6B72"/>
      <name val="Aptos"/>
    </font>
    <font>
      <sz val="10"/>
      <color rgb="FF16426A"/>
      <name val="Aptos"/>
    </font>
    <font>
      <i/>
      <sz val="10"/>
      <color rgb="FF345A45"/>
      <name val="Aptos"/>
    </font>
    <font>
      <b/>
      <sz val="9"/>
      <color rgb="FFFFFFFF"/>
      <name val="Aptos"/>
    </font>
    <font>
      <b/>
      <sz val="12"/>
      <color rgb="FF667B6B"/>
      <name val="Aptos"/>
    </font>
    <font>
      <sz val="9"/>
      <color rgb="FF142433"/>
      <name val="Aptos"/>
    </font>
    <font>
      <i/>
      <sz val="9"/>
      <color rgb="FF66726D"/>
      <name val="Aptos"/>
    </font>
    <font>
      <b/>
      <sz val="9"/>
      <color rgb="FF142433"/>
      <name val="Aptos"/>
    </font>
    <font>
      <b/>
      <sz val="9"/>
      <color rgb="FF667B6B"/>
      <name val="Aptos"/>
    </font>
    <font>
      <b/>
      <sz val="20"/>
      <color rgb="FF142433"/>
      <name val="Aptos"/>
    </font>
    <font>
      <b/>
      <sz val="15"/>
      <color rgb="FF142433"/>
      <name val="Aptos"/>
    </font>
    <font>
      <b/>
      <sz val="14"/>
      <color rgb="FF142433"/>
      <name val="Aptos"/>
    </font>
    <font>
      <i/>
      <sz val="8"/>
      <color rgb="FF68756F"/>
      <name val="Aptos"/>
    </font>
    <font>
      <b/>
      <sz val="13"/>
      <color rgb="FFFFFFFF"/>
      <name val="Aptos"/>
    </font>
    <font>
      <b/>
      <sz val="17"/>
      <color rgb="FFFFFFFF"/>
      <name val="Aptos"/>
    </font>
    <font>
      <sz val="10"/>
      <color rgb="FF526D5B"/>
      <name val="Aptos"/>
    </font>
    <font>
      <sz val="10"/>
      <color rgb="FF526C5A"/>
      <name val="Aptos"/>
    </font>
    <font>
      <sz val="10"/>
      <color rgb="FF243447"/>
      <name val="Aptos"/>
    </font>
  </fonts>
  <fills count="23">
    <fill>
      <patternFill patternType="none"/>
    </fill>
    <fill>
      <patternFill patternType="gray125"/>
    </fill>
    <fill>
      <patternFill patternType="solid">
        <fgColor rgb="FF142433"/>
      </patternFill>
    </fill>
    <fill>
      <patternFill patternType="solid">
        <fgColor rgb="FFFFFFFF"/>
      </patternFill>
    </fill>
    <fill>
      <patternFill patternType="solid">
        <fgColor rgb="FFDFE9DF"/>
      </patternFill>
    </fill>
    <fill>
      <patternFill patternType="solid">
        <fgColor rgb="FFF8F8F3"/>
      </patternFill>
    </fill>
    <fill>
      <patternFill patternType="solid">
        <fgColor rgb="FFE8EFEA"/>
      </patternFill>
    </fill>
    <fill>
      <patternFill patternType="solid">
        <fgColor rgb="FFF5F8F6"/>
      </patternFill>
    </fill>
    <fill>
      <patternFill patternType="solid">
        <fgColor rgb="FFEDF2EC"/>
      </patternFill>
    </fill>
    <fill>
      <patternFill patternType="solid">
        <fgColor rgb="FFF4F7F3"/>
        <bgColor indexed="64"/>
      </patternFill>
    </fill>
    <fill>
      <patternFill patternType="solid">
        <fgColor rgb="FFE9F0EA"/>
        <bgColor indexed="64"/>
      </patternFill>
    </fill>
    <fill>
      <patternFill patternType="solid">
        <fgColor rgb="FFF7F4EE"/>
      </patternFill>
    </fill>
    <fill>
      <patternFill patternType="solid">
        <fgColor rgb="FFF6F5F0"/>
      </patternFill>
    </fill>
    <fill>
      <patternFill patternType="solid">
        <fgColor rgb="FFECE7DD"/>
      </patternFill>
    </fill>
    <fill>
      <patternFill patternType="solid">
        <fgColor rgb="FFE8EEE6"/>
      </patternFill>
    </fill>
    <fill>
      <patternFill patternType="solid">
        <fgColor rgb="FFF7F5EF"/>
      </patternFill>
    </fill>
    <fill>
      <patternFill patternType="solid">
        <fgColor rgb="FFF8F8F4"/>
      </patternFill>
    </fill>
    <fill>
      <patternFill patternType="solid">
        <fgColor rgb="FFE3EAE1"/>
      </patternFill>
    </fill>
    <fill>
      <patternFill patternType="solid">
        <fgColor rgb="FFC4A56A"/>
      </patternFill>
    </fill>
    <fill>
      <patternFill patternType="solid">
        <fgColor rgb="FFF9F7F2"/>
      </patternFill>
    </fill>
    <fill>
      <patternFill patternType="solid">
        <fgColor rgb="FFEFF3ED"/>
      </patternFill>
    </fill>
    <fill>
      <patternFill patternType="solid">
        <fgColor rgb="FFF5ECD7"/>
      </patternFill>
    </fill>
    <fill>
      <patternFill patternType="solid">
        <fgColor rgb="FFE0E9DF"/>
      </patternFill>
    </fill>
  </fills>
  <borders count="67">
    <border>
      <left/>
      <right/>
      <top/>
      <bottom/>
      <diagonal/>
    </border>
    <border>
      <left/>
      <right/>
      <top/>
      <bottom/>
      <diagonal/>
    </border>
    <border>
      <left/>
      <right/>
      <top/>
      <bottom/>
      <diagonal/>
    </border>
    <border>
      <left/>
      <right/>
      <top/>
      <bottom/>
      <diagonal/>
    </border>
    <border>
      <left style="medium">
        <color rgb="FF13263F"/>
      </left>
      <right style="thin">
        <color rgb="FFD6DED5"/>
      </right>
      <top style="medium">
        <color rgb="FF13263F"/>
      </top>
      <bottom style="medium">
        <color rgb="FF13263F"/>
      </bottom>
      <diagonal/>
    </border>
    <border>
      <left style="thin">
        <color rgb="FFD6DED5"/>
      </left>
      <right style="thin">
        <color rgb="FFD6DED5"/>
      </right>
      <top style="thin">
        <color rgb="FFD6DED5"/>
      </top>
      <bottom style="thin">
        <color rgb="FFD6DED5"/>
      </bottom>
      <diagonal/>
    </border>
    <border>
      <left/>
      <right style="thin">
        <color rgb="FFD6DED5"/>
      </right>
      <top style="medium">
        <color rgb="FF13263F"/>
      </top>
      <bottom style="medium">
        <color rgb="FF13263F"/>
      </bottom>
      <diagonal/>
    </border>
    <border>
      <left/>
      <right/>
      <top style="medium">
        <color rgb="FF13263F"/>
      </top>
      <bottom style="medium">
        <color rgb="FF13263F"/>
      </bottom>
      <diagonal/>
    </border>
    <border>
      <left/>
      <right/>
      <top style="thin">
        <color rgb="FFD6DED5"/>
      </top>
      <bottom/>
      <diagonal/>
    </border>
    <border>
      <left/>
      <right/>
      <top style="thin">
        <color rgb="FFD6DED5"/>
      </top>
      <bottom style="thin">
        <color rgb="FFD6DED5"/>
      </bottom>
      <diagonal/>
    </border>
    <border>
      <left/>
      <right style="thin">
        <color rgb="FFD6DED5"/>
      </right>
      <top style="thin">
        <color rgb="FFD6DED5"/>
      </top>
      <bottom style="thin">
        <color rgb="FFD6DED5"/>
      </bottom>
      <diagonal/>
    </border>
    <border>
      <left style="thin">
        <color rgb="FF94A69B"/>
      </left>
      <right/>
      <top style="thin">
        <color rgb="FF94A69B"/>
      </top>
      <bottom/>
      <diagonal/>
    </border>
    <border>
      <left style="thin">
        <color rgb="FF94A69B"/>
      </left>
      <right/>
      <top/>
      <bottom style="medium">
        <color rgb="FFC4A56A"/>
      </bottom>
      <diagonal/>
    </border>
    <border>
      <left/>
      <right/>
      <top style="thin">
        <color rgb="FF94A69B"/>
      </top>
      <bottom/>
      <diagonal/>
    </border>
    <border>
      <left/>
      <right/>
      <top/>
      <bottom style="medium">
        <color rgb="FFC4A56A"/>
      </bottom>
      <diagonal/>
    </border>
    <border>
      <left/>
      <right style="thin">
        <color rgb="FF94A69B"/>
      </right>
      <top style="thin">
        <color rgb="FF94A69B"/>
      </top>
      <bottom/>
      <diagonal/>
    </border>
    <border>
      <left/>
      <right style="thin">
        <color rgb="FF94A69B"/>
      </right>
      <top/>
      <bottom style="medium">
        <color rgb="FFC4A56A"/>
      </bottom>
      <diagonal/>
    </border>
    <border>
      <left style="thin">
        <color rgb="FFC9D3CA"/>
      </left>
      <right/>
      <top style="thin">
        <color rgb="FFC9D3CA"/>
      </top>
      <bottom style="thin">
        <color rgb="FFC9D3CA"/>
      </bottom>
      <diagonal/>
    </border>
    <border>
      <left/>
      <right style="thin">
        <color rgb="FFC9D3CA"/>
      </right>
      <top style="thin">
        <color rgb="FFC9D3CA"/>
      </top>
      <bottom style="thin">
        <color rgb="FFC9D3CA"/>
      </bottom>
      <diagonal/>
    </border>
    <border>
      <left style="thin">
        <color rgb="FF94A69B"/>
      </left>
      <right style="thin">
        <color rgb="FF94A69B"/>
      </right>
      <top style="thin">
        <color rgb="FF94A69B"/>
      </top>
      <bottom style="thin">
        <color rgb="FF94A69B"/>
      </bottom>
      <diagonal/>
    </border>
    <border>
      <left/>
      <right/>
      <top style="thin">
        <color rgb="FF94A69B"/>
      </top>
      <bottom style="medium">
        <color rgb="FFC4A56A"/>
      </bottom>
      <diagonal/>
    </border>
    <border>
      <left/>
      <right/>
      <top style="thin">
        <color rgb="FF94A69B"/>
      </top>
      <bottom style="thin">
        <color rgb="FF94A69B"/>
      </bottom>
      <diagonal/>
    </border>
    <border>
      <left/>
      <right style="thin">
        <color rgb="FF94A69B"/>
      </right>
      <top style="thin">
        <color rgb="FF94A69B"/>
      </top>
      <bottom style="thin">
        <color rgb="FF94A69B"/>
      </bottom>
      <diagonal/>
    </border>
    <border>
      <left style="thin">
        <color rgb="FF94A69B"/>
      </left>
      <right/>
      <top style="thin">
        <color rgb="FF94A69B"/>
      </top>
      <bottom/>
      <diagonal/>
    </border>
    <border>
      <left/>
      <right/>
      <top style="thin">
        <color rgb="FF94A69B"/>
      </top>
      <bottom/>
      <diagonal/>
    </border>
    <border>
      <left/>
      <right style="thin">
        <color rgb="FF94A69B"/>
      </right>
      <top style="thin">
        <color rgb="FF94A69B"/>
      </top>
      <bottom/>
      <diagonal/>
    </border>
    <border>
      <left style="thin">
        <color rgb="FF94A69B"/>
      </left>
      <right/>
      <top/>
      <bottom/>
      <diagonal/>
    </border>
    <border>
      <left/>
      <right style="thin">
        <color rgb="FF94A69B"/>
      </right>
      <top/>
      <bottom/>
      <diagonal/>
    </border>
    <border>
      <left style="thin">
        <color rgb="FF94A69B"/>
      </left>
      <right/>
      <top/>
      <bottom style="thin">
        <color rgb="FF94A69B"/>
      </bottom>
      <diagonal/>
    </border>
    <border>
      <left/>
      <right/>
      <top/>
      <bottom style="thin">
        <color rgb="FF94A69B"/>
      </bottom>
      <diagonal/>
    </border>
    <border>
      <left/>
      <right style="thin">
        <color rgb="FF94A69B"/>
      </right>
      <top/>
      <bottom style="thin">
        <color rgb="FF94A69B"/>
      </bottom>
      <diagonal/>
    </border>
    <border>
      <left/>
      <right/>
      <top style="thin">
        <color rgb="FFC9D3CA"/>
      </top>
      <bottom/>
      <diagonal/>
    </border>
    <border>
      <left/>
      <right/>
      <top style="thin">
        <color rgb="FFC9D3CA"/>
      </top>
      <bottom style="thin">
        <color rgb="FFC9D3CA"/>
      </bottom>
      <diagonal/>
    </border>
    <border>
      <left/>
      <right style="thin">
        <color rgb="FFC9D3CA"/>
      </right>
      <top style="thin">
        <color rgb="FFC9D3CA"/>
      </top>
      <bottom/>
      <diagonal/>
    </border>
    <border>
      <left/>
      <right style="thin">
        <color rgb="FFC9D3CA"/>
      </right>
      <top style="thin">
        <color rgb="FFC9D3CA"/>
      </top>
      <bottom style="thin">
        <color rgb="FFC9D3CA"/>
      </bottom>
      <diagonal/>
    </border>
    <border>
      <left/>
      <right/>
      <top style="thin">
        <color rgb="FF94A69B"/>
      </top>
      <bottom style="medium">
        <color rgb="FFC4A56A"/>
      </bottom>
      <diagonal/>
    </border>
    <border>
      <left/>
      <right/>
      <top style="thin">
        <color rgb="FFD6DED5"/>
      </top>
      <bottom/>
      <diagonal/>
    </border>
    <border>
      <left style="thin">
        <color rgb="FFC9D3CA"/>
      </left>
      <right style="thin">
        <color rgb="FFC9D3CA"/>
      </right>
      <top style="thin">
        <color rgb="FFC9D3CA"/>
      </top>
      <bottom style="thin">
        <color rgb="FFC9D3CA"/>
      </bottom>
      <diagonal/>
    </border>
    <border>
      <left/>
      <right/>
      <top style="thin">
        <color rgb="FF94A69B"/>
      </top>
      <bottom style="thin">
        <color rgb="FF94A69B"/>
      </bottom>
      <diagonal/>
    </border>
    <border>
      <left style="thin">
        <color rgb="FF142433"/>
      </left>
      <right style="thin">
        <color rgb="FF142433"/>
      </right>
      <top/>
      <bottom style="thin">
        <color rgb="FF142433"/>
      </bottom>
      <diagonal/>
    </border>
    <border>
      <left style="thin">
        <color rgb="FF142433"/>
      </left>
      <right/>
      <top/>
      <bottom/>
      <diagonal/>
    </border>
    <border>
      <left/>
      <right style="thin">
        <color rgb="FF142433"/>
      </right>
      <top/>
      <bottom/>
      <diagonal/>
    </border>
    <border>
      <left style="thin">
        <color rgb="FF142433"/>
      </left>
      <right/>
      <top/>
      <bottom style="thin">
        <color rgb="FF142433"/>
      </bottom>
      <diagonal/>
    </border>
    <border>
      <left/>
      <right/>
      <top/>
      <bottom style="thin">
        <color rgb="FF142433"/>
      </bottom>
      <diagonal/>
    </border>
    <border>
      <left/>
      <right style="thin">
        <color rgb="FF142433"/>
      </right>
      <top/>
      <bottom style="thin">
        <color rgb="FF142433"/>
      </bottom>
      <diagonal/>
    </border>
    <border>
      <left/>
      <right style="thin">
        <color rgb="FF94A69B"/>
      </right>
      <top style="thin">
        <color rgb="FF94A69B"/>
      </top>
      <bottom style="thin">
        <color rgb="FF94A69B"/>
      </bottom>
      <diagonal/>
    </border>
    <border>
      <left style="thin">
        <color rgb="FF142433"/>
      </left>
      <right style="thin">
        <color rgb="FF142433"/>
      </right>
      <top style="thin">
        <color rgb="FF142433"/>
      </top>
      <bottom/>
      <diagonal/>
    </border>
    <border>
      <left/>
      <right/>
      <top style="thin">
        <color rgb="FF142433"/>
      </top>
      <bottom/>
      <diagonal/>
    </border>
    <border>
      <left/>
      <right style="thin">
        <color rgb="FF142433"/>
      </right>
      <top style="thin">
        <color rgb="FF142433"/>
      </top>
      <bottom/>
      <diagonal/>
    </border>
    <border>
      <left style="thin">
        <color rgb="FFC9D3CA"/>
      </left>
      <right/>
      <top/>
      <bottom/>
      <diagonal/>
    </border>
    <border>
      <left/>
      <right style="thin">
        <color rgb="FFC9D3CA"/>
      </right>
      <top/>
      <bottom/>
      <diagonal/>
    </border>
    <border>
      <left style="thin">
        <color rgb="FFC9D3CA"/>
      </left>
      <right/>
      <top/>
      <bottom style="thin">
        <color rgb="FFC9D3CA"/>
      </bottom>
      <diagonal/>
    </border>
    <border>
      <left/>
      <right/>
      <top/>
      <bottom style="thin">
        <color rgb="FFC9D3CA"/>
      </bottom>
      <diagonal/>
    </border>
    <border>
      <left/>
      <right style="thin">
        <color rgb="FFC9D3CA"/>
      </right>
      <top/>
      <bottom style="thin">
        <color rgb="FFC9D3CA"/>
      </bottom>
      <diagonal/>
    </border>
    <border>
      <left style="thin">
        <color rgb="FFC5CEC6"/>
      </left>
      <right/>
      <top style="medium">
        <color rgb="FFC4A56A"/>
      </top>
      <bottom style="medium">
        <color rgb="FFC4A56A"/>
      </bottom>
      <diagonal/>
    </border>
    <border>
      <left/>
      <right/>
      <top style="medium">
        <color rgb="FFC4A56A"/>
      </top>
      <bottom style="medium">
        <color rgb="FFC4A56A"/>
      </bottom>
      <diagonal/>
    </border>
    <border>
      <left/>
      <right style="thin">
        <color rgb="FFC5CEC6"/>
      </right>
      <top style="medium">
        <color rgb="FFC4A56A"/>
      </top>
      <bottom style="medium">
        <color rgb="FFC4A56A"/>
      </bottom>
      <diagonal/>
    </border>
    <border>
      <left style="thin">
        <color rgb="FFC5CEC6"/>
      </left>
      <right style="thin">
        <color rgb="FFC5CEC6"/>
      </right>
      <top style="thin">
        <color rgb="FFC5CEC6"/>
      </top>
      <bottom style="thin">
        <color rgb="FFC5CEC6"/>
      </bottom>
      <diagonal/>
    </border>
    <border>
      <left/>
      <right/>
      <top style="thin">
        <color rgb="FFC5CEC6"/>
      </top>
      <bottom style="thin">
        <color rgb="FFC5CEC6"/>
      </bottom>
      <diagonal/>
    </border>
    <border>
      <left/>
      <right style="thin">
        <color rgb="FFC5CEC6"/>
      </right>
      <top style="thin">
        <color rgb="FFC5CEC6"/>
      </top>
      <bottom style="thin">
        <color rgb="FFC5CEC6"/>
      </bottom>
      <diagonal/>
    </border>
    <border>
      <left style="thin">
        <color rgb="FFC5CEC6"/>
      </left>
      <right style="thin">
        <color rgb="FFC5CEC6"/>
      </right>
      <top style="thin">
        <color rgb="FFC5CEC6"/>
      </top>
      <bottom style="medium">
        <color rgb="FFC4A56A"/>
      </bottom>
      <diagonal/>
    </border>
    <border>
      <left/>
      <right/>
      <top style="thin">
        <color rgb="FFC5CEC6"/>
      </top>
      <bottom style="medium">
        <color rgb="FFC4A56A"/>
      </bottom>
      <diagonal/>
    </border>
    <border>
      <left/>
      <right style="thin">
        <color rgb="FFC5CEC6"/>
      </right>
      <top style="thin">
        <color rgb="FFC5CEC6"/>
      </top>
      <bottom style="medium">
        <color rgb="FFC4A56A"/>
      </bottom>
      <diagonal/>
    </border>
    <border>
      <left/>
      <right/>
      <top style="medium">
        <color rgb="FFC4A56A"/>
      </top>
      <bottom style="medium">
        <color rgb="FFC4A56A"/>
      </bottom>
      <diagonal/>
    </border>
    <border>
      <left/>
      <right/>
      <top/>
      <bottom style="thin">
        <color rgb="FFBAC9BC"/>
      </bottom>
      <diagonal/>
    </border>
    <border>
      <left/>
      <right/>
      <top/>
      <bottom style="thin">
        <color rgb="FFBAC9BC"/>
      </bottom>
      <diagonal/>
    </border>
    <border>
      <left/>
      <right/>
      <top/>
      <bottom style="thin">
        <color rgb="FFBAC9BC"/>
      </bottom>
      <diagonal/>
    </border>
  </borders>
  <cellStyleXfs count="1">
    <xf numFmtId="0" fontId="0" fillId="0" borderId="0"/>
  </cellStyleXfs>
  <cellXfs count="135">
    <xf numFmtId="0" fontId="0" fillId="0" borderId="0" xfId="0"/>
    <xf numFmtId="0" fontId="0" fillId="2" borderId="0" xfId="0" applyFill="1"/>
    <xf numFmtId="0" fontId="7" fillId="0" borderId="0" xfId="0" applyFont="1"/>
    <xf numFmtId="0" fontId="0" fillId="5" borderId="0" xfId="0" applyFill="1"/>
    <xf numFmtId="0" fontId="0" fillId="11" borderId="0" xfId="0" applyFill="1"/>
    <xf numFmtId="0" fontId="4" fillId="11" borderId="1" xfId="0" applyFont="1" applyFill="1" applyBorder="1" applyAlignment="1">
      <alignment vertical="center"/>
    </xf>
    <xf numFmtId="0" fontId="0" fillId="12" borderId="0" xfId="0" applyFill="1"/>
    <xf numFmtId="0" fontId="0" fillId="13" borderId="0" xfId="0" applyFill="1"/>
    <xf numFmtId="0" fontId="4" fillId="12" borderId="1" xfId="0" applyFont="1" applyFill="1" applyBorder="1" applyAlignment="1">
      <alignment vertical="center"/>
    </xf>
    <xf numFmtId="0" fontId="0" fillId="15" borderId="5" xfId="0" applyFill="1" applyBorder="1"/>
    <xf numFmtId="0" fontId="0" fillId="0" borderId="5" xfId="0" applyBorder="1"/>
    <xf numFmtId="0" fontId="4" fillId="3" borderId="5" xfId="0" applyFont="1" applyFill="1" applyBorder="1" applyAlignment="1">
      <alignment horizontal="left" vertical="center" indent="1"/>
    </xf>
    <xf numFmtId="0" fontId="4" fillId="3" borderId="5" xfId="0" applyFont="1" applyFill="1" applyBorder="1" applyAlignment="1">
      <alignment horizontal="center" vertical="center"/>
    </xf>
    <xf numFmtId="9" fontId="8" fillId="3" borderId="5" xfId="0" applyNumberFormat="1" applyFont="1" applyFill="1" applyBorder="1" applyAlignment="1">
      <alignment horizontal="center" vertical="center"/>
    </xf>
    <xf numFmtId="169" fontId="8" fillId="6" borderId="5" xfId="0" applyNumberFormat="1" applyFont="1" applyFill="1" applyBorder="1" applyAlignment="1">
      <alignment horizontal="right" vertical="center"/>
    </xf>
    <xf numFmtId="0" fontId="1" fillId="9" borderId="5" xfId="0" applyFont="1" applyFill="1" applyBorder="1" applyAlignment="1">
      <alignment horizontal="center" vertical="center"/>
    </xf>
    <xf numFmtId="0" fontId="1" fillId="10" borderId="5" xfId="0" applyFont="1" applyFill="1" applyBorder="1" applyAlignment="1">
      <alignment horizontal="center" vertical="center"/>
    </xf>
    <xf numFmtId="0" fontId="4" fillId="7" borderId="5" xfId="0" applyFont="1" applyFill="1" applyBorder="1" applyAlignment="1">
      <alignment horizontal="left" vertical="center" indent="1"/>
    </xf>
    <xf numFmtId="0" fontId="4" fillId="7" borderId="5" xfId="0" applyFont="1" applyFill="1" applyBorder="1" applyAlignment="1">
      <alignment horizontal="center" vertical="center"/>
    </xf>
    <xf numFmtId="9" fontId="8" fillId="7" borderId="5" xfId="0" applyNumberFormat="1" applyFont="1" applyFill="1" applyBorder="1" applyAlignment="1">
      <alignment horizontal="center" vertical="center"/>
    </xf>
    <xf numFmtId="0" fontId="9" fillId="8" borderId="5" xfId="0" applyFont="1" applyFill="1" applyBorder="1" applyAlignment="1">
      <alignment horizontal="left" vertical="center" indent="1"/>
    </xf>
    <xf numFmtId="0" fontId="4" fillId="8" borderId="5" xfId="0" applyFont="1" applyFill="1" applyBorder="1" applyAlignment="1">
      <alignment horizontal="center" vertical="center"/>
    </xf>
    <xf numFmtId="9" fontId="8" fillId="8" borderId="5" xfId="0" applyNumberFormat="1" applyFont="1" applyFill="1" applyBorder="1" applyAlignment="1">
      <alignment horizontal="center" vertical="center"/>
    </xf>
    <xf numFmtId="0" fontId="0" fillId="16" borderId="5" xfId="0" applyFill="1" applyBorder="1"/>
    <xf numFmtId="0" fontId="0" fillId="14" borderId="5" xfId="0" applyFill="1" applyBorder="1"/>
    <xf numFmtId="0" fontId="0" fillId="17" borderId="11" xfId="0" applyFill="1" applyBorder="1"/>
    <xf numFmtId="0" fontId="0" fillId="17" borderId="13" xfId="0" applyFill="1" applyBorder="1"/>
    <xf numFmtId="0" fontId="0" fillId="2" borderId="13" xfId="0" applyFill="1" applyBorder="1"/>
    <xf numFmtId="0" fontId="0" fillId="2" borderId="15" xfId="0" applyFill="1" applyBorder="1"/>
    <xf numFmtId="0" fontId="0" fillId="17" borderId="0" xfId="0" applyFill="1"/>
    <xf numFmtId="0" fontId="0" fillId="18" borderId="12" xfId="0" applyFill="1" applyBorder="1"/>
    <xf numFmtId="0" fontId="0" fillId="18" borderId="14" xfId="0" applyFill="1" applyBorder="1"/>
    <xf numFmtId="0" fontId="0" fillId="18" borderId="16" xfId="0" applyFill="1" applyBorder="1"/>
    <xf numFmtId="0" fontId="10" fillId="2" borderId="21" xfId="0" applyFont="1" applyFill="1" applyBorder="1" applyAlignment="1">
      <alignment horizontal="left" vertical="center" indent="1"/>
    </xf>
    <xf numFmtId="0" fontId="10" fillId="2" borderId="21" xfId="0" applyFont="1" applyFill="1" applyBorder="1" applyAlignment="1">
      <alignment horizontal="center" vertical="center"/>
    </xf>
    <xf numFmtId="165" fontId="10" fillId="2" borderId="21" xfId="0" applyNumberFormat="1" applyFont="1" applyFill="1" applyBorder="1" applyAlignment="1">
      <alignment horizontal="center" vertical="center"/>
    </xf>
    <xf numFmtId="165" fontId="10" fillId="2" borderId="22" xfId="0" applyNumberFormat="1" applyFont="1" applyFill="1" applyBorder="1" applyAlignment="1">
      <alignment horizontal="center" vertical="center"/>
    </xf>
    <xf numFmtId="0" fontId="0" fillId="20" borderId="3" xfId="0" applyFill="1" applyBorder="1"/>
    <xf numFmtId="0" fontId="0" fillId="20" borderId="23" xfId="0" applyFill="1" applyBorder="1"/>
    <xf numFmtId="0" fontId="0" fillId="20" borderId="24" xfId="0" applyFill="1" applyBorder="1"/>
    <xf numFmtId="0" fontId="0" fillId="20" borderId="25" xfId="0" applyFill="1" applyBorder="1"/>
    <xf numFmtId="0" fontId="0" fillId="20" borderId="26" xfId="0" applyFill="1" applyBorder="1"/>
    <xf numFmtId="0" fontId="0" fillId="20" borderId="27" xfId="0" applyFill="1" applyBorder="1"/>
    <xf numFmtId="0" fontId="0" fillId="20" borderId="28" xfId="0" applyFill="1" applyBorder="1"/>
    <xf numFmtId="0" fontId="0" fillId="20" borderId="29" xfId="0" applyFill="1" applyBorder="1"/>
    <xf numFmtId="0" fontId="0" fillId="20" borderId="30" xfId="0" applyFill="1" applyBorder="1"/>
    <xf numFmtId="0" fontId="4" fillId="20" borderId="23" xfId="0" applyFont="1" applyFill="1" applyBorder="1" applyAlignment="1">
      <alignment vertical="center"/>
    </xf>
    <xf numFmtId="0" fontId="4" fillId="20" borderId="24" xfId="0" applyFont="1" applyFill="1" applyBorder="1" applyAlignment="1">
      <alignment vertical="center"/>
    </xf>
    <xf numFmtId="0" fontId="4" fillId="20" borderId="25" xfId="0" applyFont="1" applyFill="1" applyBorder="1" applyAlignment="1">
      <alignment vertical="center"/>
    </xf>
    <xf numFmtId="0" fontId="4" fillId="20" borderId="26" xfId="0" applyFont="1" applyFill="1" applyBorder="1" applyAlignment="1">
      <alignment vertical="center"/>
    </xf>
    <xf numFmtId="0" fontId="4" fillId="20" borderId="3" xfId="0" applyFont="1" applyFill="1" applyBorder="1" applyAlignment="1">
      <alignment vertical="center"/>
    </xf>
    <xf numFmtId="0" fontId="4" fillId="20" borderId="27" xfId="0" applyFont="1" applyFill="1" applyBorder="1" applyAlignment="1">
      <alignment vertical="center"/>
    </xf>
    <xf numFmtId="0" fontId="4" fillId="20" borderId="28" xfId="0" applyFont="1" applyFill="1" applyBorder="1" applyAlignment="1">
      <alignment vertical="center"/>
    </xf>
    <xf numFmtId="0" fontId="4" fillId="20" borderId="29" xfId="0" applyFont="1" applyFill="1" applyBorder="1" applyAlignment="1">
      <alignment vertical="center"/>
    </xf>
    <xf numFmtId="0" fontId="4" fillId="20" borderId="30" xfId="0" applyFont="1" applyFill="1" applyBorder="1" applyAlignment="1">
      <alignment vertical="center"/>
    </xf>
    <xf numFmtId="167" fontId="4" fillId="20" borderId="26" xfId="0" applyNumberFormat="1" applyFont="1" applyFill="1" applyBorder="1" applyAlignment="1">
      <alignment vertical="center"/>
    </xf>
    <xf numFmtId="167" fontId="4" fillId="20" borderId="3" xfId="0" applyNumberFormat="1" applyFont="1" applyFill="1" applyBorder="1" applyAlignment="1">
      <alignment vertical="center"/>
    </xf>
    <xf numFmtId="0" fontId="0" fillId="5" borderId="11" xfId="0" applyFill="1" applyBorder="1"/>
    <xf numFmtId="0" fontId="0" fillId="5" borderId="13" xfId="0" applyFill="1" applyBorder="1"/>
    <xf numFmtId="0" fontId="0" fillId="5" borderId="15" xfId="0" applyFill="1" applyBorder="1"/>
    <xf numFmtId="0" fontId="0" fillId="5" borderId="12" xfId="0" applyFill="1" applyBorder="1"/>
    <xf numFmtId="0" fontId="0" fillId="5" borderId="14" xfId="0" applyFill="1" applyBorder="1"/>
    <xf numFmtId="0" fontId="0" fillId="5" borderId="16" xfId="0" applyFill="1" applyBorder="1"/>
    <xf numFmtId="0" fontId="0" fillId="18" borderId="1" xfId="0" applyFill="1" applyBorder="1"/>
    <xf numFmtId="0" fontId="14" fillId="13" borderId="19" xfId="0" applyFont="1" applyFill="1" applyBorder="1" applyAlignment="1">
      <alignment horizontal="center" vertical="center"/>
    </xf>
    <xf numFmtId="0" fontId="2" fillId="4" borderId="19" xfId="0" applyFont="1" applyFill="1" applyBorder="1" applyAlignment="1">
      <alignment horizontal="center" vertical="center"/>
    </xf>
    <xf numFmtId="168" fontId="3" fillId="21" borderId="55" xfId="0" applyNumberFormat="1" applyFont="1" applyFill="1" applyBorder="1" applyAlignment="1">
      <alignment horizontal="right" vertical="center"/>
    </xf>
    <xf numFmtId="0" fontId="3" fillId="21" borderId="55" xfId="0" applyFont="1" applyFill="1" applyBorder="1" applyAlignment="1">
      <alignment horizontal="right" vertical="center"/>
    </xf>
    <xf numFmtId="0" fontId="3" fillId="21" borderId="56" xfId="0" applyFont="1" applyFill="1" applyBorder="1" applyAlignment="1">
      <alignment horizontal="right" vertical="center"/>
    </xf>
    <xf numFmtId="0" fontId="10" fillId="2" borderId="22" xfId="0" applyFont="1" applyFill="1" applyBorder="1" applyAlignment="1">
      <alignment horizontal="center" vertical="center" wrapText="1"/>
    </xf>
    <xf numFmtId="9" fontId="8" fillId="15" borderId="5" xfId="0" applyNumberFormat="1" applyFont="1" applyFill="1" applyBorder="1" applyAlignment="1">
      <alignment horizontal="center" vertical="center"/>
    </xf>
    <xf numFmtId="167" fontId="3" fillId="22" borderId="64" xfId="0" applyNumberFormat="1" applyFont="1" applyFill="1" applyBorder="1" applyAlignment="1">
      <alignment horizontal="right" vertical="center"/>
    </xf>
    <xf numFmtId="165" fontId="0" fillId="0" borderId="0" xfId="0" applyNumberFormat="1"/>
    <xf numFmtId="0" fontId="0" fillId="0" borderId="0" xfId="0"/>
    <xf numFmtId="0" fontId="11" fillId="19" borderId="17" xfId="0" applyFont="1" applyFill="1" applyBorder="1" applyAlignment="1">
      <alignment horizontal="center" vertical="center"/>
    </xf>
    <xf numFmtId="0" fontId="0" fillId="0" borderId="32" xfId="0" applyBorder="1"/>
    <xf numFmtId="0" fontId="24" fillId="0" borderId="0" xfId="0" applyFont="1" applyAlignment="1">
      <alignment horizontal="left" vertical="center" wrapText="1"/>
    </xf>
    <xf numFmtId="0" fontId="6" fillId="2" borderId="57" xfId="0" applyFont="1" applyFill="1" applyBorder="1" applyAlignment="1">
      <alignment horizontal="left" vertical="center"/>
    </xf>
    <xf numFmtId="0" fontId="0" fillId="0" borderId="58" xfId="0" applyBorder="1"/>
    <xf numFmtId="0" fontId="0" fillId="0" borderId="59" xfId="0" applyBorder="1"/>
    <xf numFmtId="0" fontId="4" fillId="19" borderId="18" xfId="0" applyFont="1" applyFill="1" applyBorder="1" applyAlignment="1">
      <alignment vertical="center" wrapText="1"/>
    </xf>
    <xf numFmtId="0" fontId="0" fillId="0" borderId="34" xfId="0" applyBorder="1"/>
    <xf numFmtId="0" fontId="13" fillId="15" borderId="36" xfId="0" applyFont="1" applyFill="1" applyBorder="1" applyAlignment="1">
      <alignment horizontal="left" vertical="center" wrapText="1"/>
    </xf>
    <xf numFmtId="0" fontId="0" fillId="0" borderId="8" xfId="0" applyBorder="1"/>
    <xf numFmtId="0" fontId="11" fillId="17" borderId="17" xfId="0" applyFont="1" applyFill="1" applyBorder="1" applyAlignment="1">
      <alignment horizontal="center" vertical="center"/>
    </xf>
    <xf numFmtId="0" fontId="4" fillId="17" borderId="18" xfId="0" applyFont="1" applyFill="1" applyBorder="1" applyAlignment="1">
      <alignment vertical="center" wrapText="1"/>
    </xf>
    <xf numFmtId="0" fontId="12" fillId="19" borderId="37" xfId="0" applyFont="1" applyFill="1" applyBorder="1" applyAlignment="1">
      <alignment horizontal="left" vertical="center" wrapText="1"/>
    </xf>
    <xf numFmtId="0" fontId="24" fillId="19" borderId="2" xfId="0" applyFont="1" applyFill="1" applyBorder="1" applyAlignment="1">
      <alignment horizontal="left" vertical="center"/>
    </xf>
    <xf numFmtId="0" fontId="20" fillId="2" borderId="60" xfId="0" applyFont="1" applyFill="1" applyBorder="1" applyAlignment="1">
      <alignment horizontal="left" vertical="center" indent="1"/>
    </xf>
    <xf numFmtId="0" fontId="0" fillId="0" borderId="61" xfId="0" applyBorder="1"/>
    <xf numFmtId="0" fontId="0" fillId="0" borderId="62" xfId="0" applyBorder="1"/>
    <xf numFmtId="0" fontId="3" fillId="21" borderId="54" xfId="0" applyFont="1" applyFill="1" applyBorder="1" applyAlignment="1">
      <alignment horizontal="left" vertical="center" indent="1"/>
    </xf>
    <xf numFmtId="0" fontId="0" fillId="0" borderId="63" xfId="0" applyBorder="1"/>
    <xf numFmtId="0" fontId="24" fillId="19" borderId="1" xfId="0" applyFont="1" applyFill="1" applyBorder="1" applyAlignment="1">
      <alignment vertical="center" wrapText="1"/>
    </xf>
    <xf numFmtId="167" fontId="3" fillId="22" borderId="66" xfId="0" applyNumberFormat="1" applyFont="1" applyFill="1" applyBorder="1" applyAlignment="1">
      <alignment horizontal="left" vertical="center"/>
    </xf>
    <xf numFmtId="0" fontId="0" fillId="0" borderId="65" xfId="0" applyBorder="1"/>
    <xf numFmtId="0" fontId="10" fillId="2" borderId="21" xfId="0" applyFont="1" applyFill="1" applyBorder="1" applyAlignment="1">
      <alignment horizontal="left" vertical="center" indent="1"/>
    </xf>
    <xf numFmtId="0" fontId="0" fillId="0" borderId="38" xfId="0" applyBorder="1"/>
    <xf numFmtId="0" fontId="22" fillId="5" borderId="4" xfId="0" applyFont="1" applyFill="1" applyBorder="1" applyAlignment="1">
      <alignment horizontal="left" vertical="center" indent="1"/>
    </xf>
    <xf numFmtId="0" fontId="0" fillId="0" borderId="7" xfId="0" applyBorder="1"/>
    <xf numFmtId="0" fontId="0" fillId="0" borderId="6" xfId="0" applyBorder="1"/>
    <xf numFmtId="0" fontId="21" fillId="2" borderId="60" xfId="0" applyFont="1" applyFill="1" applyBorder="1" applyAlignment="1">
      <alignment horizontal="left" vertical="center" indent="1"/>
    </xf>
    <xf numFmtId="0" fontId="1" fillId="2" borderId="5" xfId="0" applyFont="1" applyFill="1" applyBorder="1"/>
    <xf numFmtId="0" fontId="0" fillId="0" borderId="9" xfId="0" applyBorder="1"/>
    <xf numFmtId="0" fontId="0" fillId="0" borderId="10" xfId="0" applyBorder="1"/>
    <xf numFmtId="0" fontId="23" fillId="0" borderId="5" xfId="0" applyFont="1" applyBorder="1" applyAlignment="1">
      <alignment wrapText="1"/>
    </xf>
    <xf numFmtId="167" fontId="17" fillId="19" borderId="39" xfId="0" applyNumberFormat="1" applyFont="1" applyFill="1" applyBorder="1" applyAlignment="1">
      <alignment horizontal="center" vertical="center"/>
    </xf>
    <xf numFmtId="0" fontId="0" fillId="0" borderId="41" xfId="0" applyBorder="1"/>
    <xf numFmtId="0" fontId="0" fillId="0" borderId="42" xfId="0" applyBorder="1"/>
    <xf numFmtId="0" fontId="0" fillId="0" borderId="43" xfId="0" applyBorder="1"/>
    <xf numFmtId="0" fontId="0" fillId="0" borderId="44" xfId="0" applyBorder="1"/>
    <xf numFmtId="0" fontId="1" fillId="2" borderId="20" xfId="0" applyFont="1" applyFill="1" applyBorder="1" applyAlignment="1">
      <alignment horizontal="left" vertical="center" indent="1"/>
    </xf>
    <xf numFmtId="0" fontId="0" fillId="0" borderId="35" xfId="0" applyBorder="1"/>
    <xf numFmtId="0" fontId="10" fillId="2" borderId="19" xfId="0" applyFont="1" applyFill="1" applyBorder="1" applyAlignment="1">
      <alignment horizontal="center" vertical="center"/>
    </xf>
    <xf numFmtId="0" fontId="0" fillId="0" borderId="45" xfId="0" applyBorder="1"/>
    <xf numFmtId="0" fontId="3" fillId="4" borderId="19" xfId="0" applyFont="1" applyFill="1" applyBorder="1" applyAlignment="1">
      <alignment horizontal="center" vertical="center"/>
    </xf>
    <xf numFmtId="0" fontId="15" fillId="19" borderId="46" xfId="0" applyFont="1" applyFill="1" applyBorder="1" applyAlignment="1">
      <alignment horizontal="center" vertical="center"/>
    </xf>
    <xf numFmtId="0" fontId="0" fillId="0" borderId="47" xfId="0" applyBorder="1"/>
    <xf numFmtId="0" fontId="0" fillId="0" borderId="48" xfId="0" applyBorder="1"/>
    <xf numFmtId="167" fontId="16" fillId="17" borderId="39" xfId="0" applyNumberFormat="1" applyFont="1" applyFill="1" applyBorder="1" applyAlignment="1">
      <alignment horizontal="center" vertical="center"/>
    </xf>
    <xf numFmtId="0" fontId="0" fillId="0" borderId="40" xfId="0" applyBorder="1"/>
    <xf numFmtId="0" fontId="15" fillId="20" borderId="46" xfId="0" applyFont="1" applyFill="1" applyBorder="1" applyAlignment="1">
      <alignment horizontal="center" vertical="center"/>
    </xf>
    <xf numFmtId="0" fontId="24" fillId="13" borderId="37" xfId="0" applyFont="1" applyFill="1" applyBorder="1" applyAlignment="1">
      <alignment vertical="center" wrapText="1"/>
    </xf>
    <xf numFmtId="0" fontId="5" fillId="14" borderId="5" xfId="0" applyFont="1" applyFill="1" applyBorder="1" applyAlignment="1">
      <alignment horizontal="center" vertical="center"/>
    </xf>
    <xf numFmtId="0" fontId="15" fillId="17" borderId="46" xfId="0" applyFont="1" applyFill="1" applyBorder="1" applyAlignment="1">
      <alignment horizontal="center" vertical="center"/>
    </xf>
    <xf numFmtId="167" fontId="18" fillId="20" borderId="39" xfId="0" applyNumberFormat="1" applyFont="1" applyFill="1" applyBorder="1" applyAlignment="1">
      <alignment horizontal="center" vertical="center"/>
    </xf>
    <xf numFmtId="167" fontId="18" fillId="19" borderId="39" xfId="0" applyNumberFormat="1" applyFont="1" applyFill="1" applyBorder="1" applyAlignment="1">
      <alignment horizontal="center" vertical="center"/>
    </xf>
    <xf numFmtId="0" fontId="19" fillId="12" borderId="37" xfId="0" applyFont="1" applyFill="1" applyBorder="1" applyAlignment="1">
      <alignment vertical="center" wrapText="1"/>
    </xf>
    <xf numFmtId="0" fontId="0" fillId="0" borderId="31" xfId="0" applyBorder="1"/>
    <xf numFmtId="0" fontId="0" fillId="0" borderId="33" xfId="0" applyBorder="1"/>
    <xf numFmtId="0" fontId="0" fillId="0" borderId="49" xfId="0" applyBorder="1"/>
    <xf numFmtId="0" fontId="0" fillId="0" borderId="50" xfId="0" applyBorder="1"/>
    <xf numFmtId="0" fontId="0" fillId="0" borderId="51" xfId="0" applyBorder="1"/>
    <xf numFmtId="0" fontId="0" fillId="0" borderId="52" xfId="0" applyBorder="1"/>
    <xf numFmtId="0" fontId="0" fillId="0" borderId="53" xfId="0" applyBorder="1"/>
  </cellXfs>
  <cellStyles count="1">
    <cellStyle name="Normal" xfId="0" builtinId="0"/>
  </cellStyles>
  <dxfs count="1">
    <dxf>
      <font>
        <sz val="10"/>
        <color rgb="FF7A4C00"/>
        <name val="Aptos"/>
      </font>
      <fill>
        <patternFill patternType="solid">
          <fgColor rgb="FFF5ED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spPr>
            <a:ln w="38000">
              <a:solidFill>
                <a:srgbClr val="4D6656"/>
              </a:solidFill>
              <a:prstDash val="solid"/>
            </a:ln>
          </c:spPr>
          <c:marker>
            <c:symbol val="circle"/>
            <c:size val="6"/>
            <c:spPr>
              <a:solidFill>
                <a:srgbClr val="C4A56A"/>
              </a:solidFill>
              <a:ln w="13000">
                <a:solidFill>
                  <a:srgbClr val="142433"/>
                </a:solidFill>
                <a:prstDash val="solid"/>
              </a:ln>
            </c:spPr>
          </c:marker>
          <c:cat>
            <c:numRef>
              <c:f>'My Finances'!$BV$9:$BV$68</c:f>
              <c:numCache>
                <c:formatCode>mmm\ yy</c:formatCode>
                <c:ptCount val="60"/>
                <c:pt idx="0">
                  <c:v>46296</c:v>
                </c:pt>
                <c:pt idx="1">
                  <c:v>46296</c:v>
                </c:pt>
                <c:pt idx="2">
                  <c:v>46296</c:v>
                </c:pt>
                <c:pt idx="3">
                  <c:v>46296</c:v>
                </c:pt>
                <c:pt idx="4">
                  <c:v>46296</c:v>
                </c:pt>
                <c:pt idx="5">
                  <c:v>46296</c:v>
                </c:pt>
                <c:pt idx="6">
                  <c:v>46296</c:v>
                </c:pt>
                <c:pt idx="7">
                  <c:v>46296</c:v>
                </c:pt>
                <c:pt idx="8">
                  <c:v>46296</c:v>
                </c:pt>
                <c:pt idx="9">
                  <c:v>46296</c:v>
                </c:pt>
                <c:pt idx="10">
                  <c:v>46296</c:v>
                </c:pt>
                <c:pt idx="11">
                  <c:v>46296</c:v>
                </c:pt>
                <c:pt idx="12">
                  <c:v>46296</c:v>
                </c:pt>
                <c:pt idx="13">
                  <c:v>46296</c:v>
                </c:pt>
                <c:pt idx="14">
                  <c:v>46296</c:v>
                </c:pt>
                <c:pt idx="15">
                  <c:v>46296</c:v>
                </c:pt>
                <c:pt idx="16">
                  <c:v>46296</c:v>
                </c:pt>
                <c:pt idx="17">
                  <c:v>46296</c:v>
                </c:pt>
                <c:pt idx="18">
                  <c:v>46296</c:v>
                </c:pt>
                <c:pt idx="19">
                  <c:v>46296</c:v>
                </c:pt>
                <c:pt idx="20">
                  <c:v>46296</c:v>
                </c:pt>
                <c:pt idx="21">
                  <c:v>46296</c:v>
                </c:pt>
                <c:pt idx="22">
                  <c:v>46296</c:v>
                </c:pt>
                <c:pt idx="23">
                  <c:v>46296</c:v>
                </c:pt>
                <c:pt idx="24">
                  <c:v>46296</c:v>
                </c:pt>
                <c:pt idx="25">
                  <c:v>46296</c:v>
                </c:pt>
                <c:pt idx="26">
                  <c:v>46296</c:v>
                </c:pt>
                <c:pt idx="27">
                  <c:v>46296</c:v>
                </c:pt>
                <c:pt idx="28">
                  <c:v>46296</c:v>
                </c:pt>
                <c:pt idx="29">
                  <c:v>46296</c:v>
                </c:pt>
                <c:pt idx="30">
                  <c:v>46296</c:v>
                </c:pt>
                <c:pt idx="31">
                  <c:v>46296</c:v>
                </c:pt>
                <c:pt idx="32">
                  <c:v>46296</c:v>
                </c:pt>
                <c:pt idx="33">
                  <c:v>46296</c:v>
                </c:pt>
                <c:pt idx="34">
                  <c:v>46296</c:v>
                </c:pt>
                <c:pt idx="35">
                  <c:v>46296</c:v>
                </c:pt>
                <c:pt idx="36">
                  <c:v>46296</c:v>
                </c:pt>
                <c:pt idx="37">
                  <c:v>46296</c:v>
                </c:pt>
                <c:pt idx="38">
                  <c:v>46296</c:v>
                </c:pt>
                <c:pt idx="39">
                  <c:v>46296</c:v>
                </c:pt>
                <c:pt idx="40">
                  <c:v>46296</c:v>
                </c:pt>
                <c:pt idx="41">
                  <c:v>46296</c:v>
                </c:pt>
                <c:pt idx="42">
                  <c:v>46296</c:v>
                </c:pt>
                <c:pt idx="43">
                  <c:v>46296</c:v>
                </c:pt>
                <c:pt idx="44">
                  <c:v>46296</c:v>
                </c:pt>
                <c:pt idx="45">
                  <c:v>46296</c:v>
                </c:pt>
                <c:pt idx="46">
                  <c:v>46296</c:v>
                </c:pt>
                <c:pt idx="47">
                  <c:v>46296</c:v>
                </c:pt>
                <c:pt idx="48">
                  <c:v>46296</c:v>
                </c:pt>
                <c:pt idx="49">
                  <c:v>46296</c:v>
                </c:pt>
                <c:pt idx="50">
                  <c:v>46296</c:v>
                </c:pt>
                <c:pt idx="51">
                  <c:v>46296</c:v>
                </c:pt>
                <c:pt idx="52">
                  <c:v>46296</c:v>
                </c:pt>
                <c:pt idx="53">
                  <c:v>46296</c:v>
                </c:pt>
                <c:pt idx="54">
                  <c:v>46296</c:v>
                </c:pt>
                <c:pt idx="55">
                  <c:v>46296</c:v>
                </c:pt>
                <c:pt idx="56">
                  <c:v>46296</c:v>
                </c:pt>
                <c:pt idx="57">
                  <c:v>46296</c:v>
                </c:pt>
                <c:pt idx="58">
                  <c:v>46296</c:v>
                </c:pt>
                <c:pt idx="59">
                  <c:v>46296</c:v>
                </c:pt>
              </c:numCache>
            </c:numRef>
          </c:cat>
          <c:val>
            <c:numRef>
              <c:f>'My Finances'!$BW$9:$BW$68</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smooth val="0"/>
          <c:extLst>
            <c:ext xmlns:c16="http://schemas.microsoft.com/office/drawing/2014/chart" uri="{C3380CC4-5D6E-409C-BE32-E72D297353CC}">
              <c16:uniqueId val="{00000000-5B15-4C2B-B39D-C1666ED1B593}"/>
            </c:ext>
          </c:extLst>
        </c:ser>
        <c:dLbls>
          <c:showLegendKey val="0"/>
          <c:showVal val="0"/>
          <c:showCatName val="0"/>
          <c:showSerName val="0"/>
          <c:showPercent val="0"/>
          <c:showBubbleSize val="0"/>
        </c:dLbls>
        <c:marker val="1"/>
        <c:smooth val="0"/>
        <c:axId val="500"/>
        <c:axId val="100"/>
      </c:lineChart>
      <c:dateAx>
        <c:axId val="500"/>
        <c:scaling>
          <c:orientation val="minMax"/>
        </c:scaling>
        <c:delete val="1"/>
        <c:axPos val="b"/>
        <c:numFmt formatCode="mmm\ yy" sourceLinked="0"/>
        <c:majorTickMark val="none"/>
        <c:minorTickMark val="none"/>
        <c:tickLblPos val="nextTo"/>
        <c:crossAx val="100"/>
        <c:crosses val="autoZero"/>
        <c:auto val="1"/>
        <c:lblOffset val="100"/>
        <c:baseTimeUnit val="months"/>
        <c:majorTimeUnit val="months"/>
      </c:dateAx>
      <c:valAx>
        <c:axId val="100"/>
        <c:scaling>
          <c:orientation val="minMax"/>
        </c:scaling>
        <c:delete val="1"/>
        <c:axPos val="l"/>
        <c:majorGridlines>
          <c:spPr>
            <a:ln w="11000">
              <a:solidFill>
                <a:srgbClr val="A9C0AD"/>
              </a:solidFill>
              <a:prstDash val="solid"/>
            </a:ln>
          </c:spPr>
        </c:majorGridlines>
        <c:numFmt formatCode="#,##0" sourceLinked="0"/>
        <c:majorTickMark val="none"/>
        <c:minorTickMark val="none"/>
        <c:tickLblPos val="nextTo"/>
        <c:crossAx val="500"/>
        <c:crosses val="autoZero"/>
        <c:crossBetween val="between"/>
      </c:valAx>
    </c:plotArea>
    <c:plotVisOnly val="0"/>
    <c:dispBlanksAs val="gap"/>
    <c:showDLblsOverMax val="1"/>
  </c:chart>
  <c:spPr>
    <a:solidFill>
      <a:srgbClr val="DBE6DD"/>
    </a:solidFill>
    <a:ln w="15240">
      <a:solidFill>
        <a:srgbClr val="142433"/>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1"/>
        <c:ser>
          <c:idx val="0"/>
          <c:order val="0"/>
          <c:spPr>
            <a:solidFill>
              <a:srgbClr val="667B6B"/>
            </a:solidFill>
            <a:ln>
              <a:solidFill>
                <a:srgbClr val="667B6B"/>
              </a:solidFill>
              <a:prstDash val="solid"/>
            </a:ln>
          </c:spPr>
          <c:invertIfNegative val="1"/>
          <c:cat>
            <c:strRef>
              <c:f>'My Finances'!$BQ$47:$BQ$52</c:f>
              <c:strCache>
                <c:ptCount val="6"/>
                <c:pt idx="0">
                  <c:v>Cash &amp; Deposits</c:v>
                </c:pt>
                <c:pt idx="1">
                  <c:v>Brokerages &amp; Investments</c:v>
                </c:pt>
                <c:pt idx="2">
                  <c:v>Retirement &amp; Vested RSUs</c:v>
                </c:pt>
                <c:pt idx="3">
                  <c:v>Property</c:v>
                </c:pt>
                <c:pt idx="4">
                  <c:v>Gold</c:v>
                </c:pt>
                <c:pt idx="5">
                  <c:v>Other Assets</c:v>
                </c:pt>
              </c:strCache>
            </c:strRef>
          </c:cat>
          <c:val>
            <c:numRef>
              <c:f>'My Finances'!$BR$47:$BR$52</c:f>
              <c:numCache>
                <c:formatCode>General</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667B6B"/>
                    </a:solidFill>
                    <a:prstDash val="solid"/>
                  </a:ln>
                </c14:spPr>
              </c14:invertSolidFillFmt>
            </c:ext>
            <c:ext xmlns:c16="http://schemas.microsoft.com/office/drawing/2014/chart" uri="{C3380CC4-5D6E-409C-BE32-E72D297353CC}">
              <c16:uniqueId val="{00000000-6DAC-4A55-B63C-C97DDF0EEC4E}"/>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spPr>
            <a:ln w="7600">
              <a:solidFill>
                <a:srgbClr val="C2D0C4"/>
              </a:solidFill>
              <a:prstDash val="solid"/>
            </a:ln>
          </c:spPr>
        </c:majorGridlines>
        <c:numFmt formatCode="[&gt;=1000000]0.0,,&quot;m&quot;;[&gt;=1000]0,&quot;k&quot;;0" sourceLinked="0"/>
        <c:majorTickMark val="none"/>
        <c:minorTickMark val="none"/>
        <c:tickLblPos val="nextTo"/>
        <c:crossAx val="10"/>
        <c:crosses val="autoZero"/>
        <c:crossBetween val="between"/>
      </c:valAx>
    </c:plotArea>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doughnutChart>
        <c:varyColors val="1"/>
        <c:ser>
          <c:idx val="0"/>
          <c:order val="0"/>
          <c:spPr>
            <a:ln>
              <a:prstDash val="solid"/>
            </a:ln>
          </c:spPr>
          <c:dPt>
            <c:idx val="0"/>
            <c:bubble3D val="0"/>
            <c:spPr>
              <a:solidFill>
                <a:srgbClr val="142433"/>
              </a:solidFill>
              <a:ln>
                <a:noFill/>
                <a:prstDash val="solid"/>
              </a:ln>
            </c:spPr>
            <c:extLst>
              <c:ext xmlns:c16="http://schemas.microsoft.com/office/drawing/2014/chart" uri="{C3380CC4-5D6E-409C-BE32-E72D297353CC}">
                <c16:uniqueId val="{00000001-B607-4E36-99AC-2C74861EDDC0}"/>
              </c:ext>
            </c:extLst>
          </c:dPt>
          <c:dPt>
            <c:idx val="1"/>
            <c:bubble3D val="0"/>
            <c:spPr>
              <a:solidFill>
                <a:srgbClr val="C4A56A"/>
              </a:solidFill>
              <a:ln>
                <a:noFill/>
                <a:prstDash val="solid"/>
              </a:ln>
            </c:spPr>
            <c:extLst>
              <c:ext xmlns:c16="http://schemas.microsoft.com/office/drawing/2014/chart" uri="{C3380CC4-5D6E-409C-BE32-E72D297353CC}">
                <c16:uniqueId val="{00000003-B607-4E36-99AC-2C74861EDDC0}"/>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'My Finances'!$BQ$62:$BQ$63</c:f>
              <c:strCache>
                <c:ptCount val="2"/>
                <c:pt idx="0">
                  <c:v>USD</c:v>
                </c:pt>
                <c:pt idx="1">
                  <c:v>EGP</c:v>
                </c:pt>
              </c:strCache>
            </c:strRef>
          </c:cat>
          <c:val>
            <c:numRef>
              <c:f>'My Finances'!$BR$62:$BR$63</c:f>
              <c:numCache>
                <c:formatCode>General</c:formatCode>
                <c:ptCount val="2"/>
                <c:pt idx="0">
                  <c:v>0</c:v>
                </c:pt>
                <c:pt idx="1">
                  <c:v>0</c:v>
                </c:pt>
              </c:numCache>
            </c:numRef>
          </c:val>
          <c:extLst>
            <c:ext xmlns:c16="http://schemas.microsoft.com/office/drawing/2014/chart" uri="{C3380CC4-5D6E-409C-BE32-E72D297353CC}">
              <c16:uniqueId val="{00000004-B607-4E36-99AC-2C74861EDDC0}"/>
            </c:ext>
          </c:extLst>
        </c:ser>
        <c:dLbls>
          <c:showLegendKey val="0"/>
          <c:showVal val="0"/>
          <c:showCatName val="0"/>
          <c:showSerName val="0"/>
          <c:showPercent val="1"/>
          <c:showBubbleSize val="1"/>
          <c:showLeaderLines val="1"/>
        </c:dLbls>
        <c:firstSliceAng val="0"/>
        <c:holeSize val="68"/>
      </c:doughnutChart>
    </c:plotArea>
    <c:legend>
      <c:legendPos val="b"/>
      <c:overlay val="0"/>
    </c:legend>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doughnutChart>
        <c:varyColors val="1"/>
        <c:ser>
          <c:idx val="0"/>
          <c:order val="0"/>
          <c:spPr>
            <a:ln>
              <a:prstDash val="solid"/>
            </a:ln>
          </c:spPr>
          <c:dPt>
            <c:idx val="0"/>
            <c:bubble3D val="0"/>
            <c:spPr>
              <a:solidFill>
                <a:srgbClr val="667B6B"/>
              </a:solidFill>
              <a:ln>
                <a:noFill/>
                <a:prstDash val="solid"/>
              </a:ln>
            </c:spPr>
            <c:extLst>
              <c:ext xmlns:c16="http://schemas.microsoft.com/office/drawing/2014/chart" uri="{C3380CC4-5D6E-409C-BE32-E72D297353CC}">
                <c16:uniqueId val="{00000001-81DB-4DC1-B1C0-3A4CDD332F5F}"/>
              </c:ext>
            </c:extLst>
          </c:dPt>
          <c:dPt>
            <c:idx val="1"/>
            <c:bubble3D val="0"/>
            <c:spPr>
              <a:solidFill>
                <a:srgbClr val="C4A56A"/>
              </a:solidFill>
              <a:ln>
                <a:noFill/>
                <a:prstDash val="solid"/>
              </a:ln>
            </c:spPr>
            <c:extLst>
              <c:ext xmlns:c16="http://schemas.microsoft.com/office/drawing/2014/chart" uri="{C3380CC4-5D6E-409C-BE32-E72D297353CC}">
                <c16:uniqueId val="{00000003-81DB-4DC1-B1C0-3A4CDD332F5F}"/>
              </c:ext>
            </c:extLst>
          </c:dPt>
          <c:dPt>
            <c:idx val="2"/>
            <c:bubble3D val="0"/>
            <c:spPr>
              <a:solidFill>
                <a:srgbClr val="142433"/>
              </a:solidFill>
              <a:ln>
                <a:noFill/>
                <a:prstDash val="solid"/>
              </a:ln>
            </c:spPr>
            <c:extLst>
              <c:ext xmlns:c16="http://schemas.microsoft.com/office/drawing/2014/chart" uri="{C3380CC4-5D6E-409C-BE32-E72D297353CC}">
                <c16:uniqueId val="{00000005-81DB-4DC1-B1C0-3A4CDD332F5F}"/>
              </c:ext>
            </c:extLst>
          </c:dPt>
          <c:cat>
            <c:strRef>
              <c:f>'My Finances'!$BQ$85:$BQ$87</c:f>
              <c:strCache>
                <c:ptCount val="3"/>
                <c:pt idx="0">
                  <c:v>Liquid</c:v>
                </c:pt>
                <c:pt idx="1">
                  <c:v>Limited</c:v>
                </c:pt>
                <c:pt idx="2">
                  <c:v>Illiquid</c:v>
                </c:pt>
              </c:strCache>
            </c:strRef>
          </c:cat>
          <c:val>
            <c:numRef>
              <c:f>'My Finances'!$BR$85:$BR$87</c:f>
              <c:numCache>
                <c:formatCode>General</c:formatCode>
                <c:ptCount val="3"/>
                <c:pt idx="0">
                  <c:v>0</c:v>
                </c:pt>
                <c:pt idx="1">
                  <c:v>0</c:v>
                </c:pt>
                <c:pt idx="2">
                  <c:v>0</c:v>
                </c:pt>
              </c:numCache>
            </c:numRef>
          </c:val>
          <c:extLst>
            <c:ext xmlns:c16="http://schemas.microsoft.com/office/drawing/2014/chart" uri="{C3380CC4-5D6E-409C-BE32-E72D297353CC}">
              <c16:uniqueId val="{00000006-81DB-4DC1-B1C0-3A4CDD332F5F}"/>
            </c:ext>
          </c:extLst>
        </c:ser>
        <c:dLbls>
          <c:showLegendKey val="0"/>
          <c:showVal val="0"/>
          <c:showCatName val="0"/>
          <c:showSerName val="0"/>
          <c:showPercent val="0"/>
          <c:showBubbleSize val="0"/>
          <c:showLeaderLines val="1"/>
        </c:dLbls>
        <c:firstSliceAng val="270"/>
        <c:holeSize val="67"/>
      </c:doughnutChart>
    </c:plotArea>
    <c:legend>
      <c:legendPos val="b"/>
      <c:overlay val="1"/>
    </c:legend>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1"/>
        <c:ser>
          <c:idx val="0"/>
          <c:order val="0"/>
          <c:spPr>
            <a:solidFill>
              <a:srgbClr val="C4A56A"/>
            </a:solidFill>
            <a:ln>
              <a:solidFill>
                <a:srgbClr val="C4A56A"/>
              </a:solidFill>
              <a:prstDash val="solid"/>
            </a:ln>
          </c:spPr>
          <c:invertIfNegative val="1"/>
          <c:cat>
            <c:strRef>
              <c:f>'My Finances'!$BQ$95:$BQ$100</c:f>
              <c:strCache>
                <c:ptCount val="6"/>
                <c:pt idx="0">
                  <c:v>Mortgages</c:v>
                </c:pt>
                <c:pt idx="1">
                  <c:v>Property Installments</c:v>
                </c:pt>
                <c:pt idx="2">
                  <c:v>Credit Cards</c:v>
                </c:pt>
                <c:pt idx="3">
                  <c:v>Car Loans</c:v>
                </c:pt>
                <c:pt idx="4">
                  <c:v>Personal Loans</c:v>
                </c:pt>
                <c:pt idx="5">
                  <c:v>Other Debts</c:v>
                </c:pt>
              </c:strCache>
            </c:strRef>
          </c:cat>
          <c:val>
            <c:numRef>
              <c:f>'My Finances'!$BR$95:$BR$100</c:f>
              <c:numCache>
                <c:formatCode>General</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C4A56A"/>
                    </a:solidFill>
                    <a:prstDash val="solid"/>
                  </a:ln>
                </c14:spPr>
              </c14:invertSolidFillFmt>
            </c:ext>
            <c:ext xmlns:c16="http://schemas.microsoft.com/office/drawing/2014/chart" uri="{C3380CC4-5D6E-409C-BE32-E72D297353CC}">
              <c16:uniqueId val="{00000000-D97D-46E5-A65C-DFBBCE31281E}"/>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spPr>
            <a:ln w="7600">
              <a:solidFill>
                <a:srgbClr val="C2D0C4"/>
              </a:solidFill>
              <a:prstDash val="solid"/>
            </a:ln>
          </c:spPr>
        </c:majorGridlines>
        <c:numFmt formatCode="[&gt;=1000000]0.0,,&quot;m&quot;;[&gt;=1000]0,&quot;k&quot;;0" sourceLinked="0"/>
        <c:majorTickMark val="none"/>
        <c:minorTickMark val="none"/>
        <c:tickLblPos val="nextTo"/>
        <c:crossAx val="10"/>
        <c:crosses val="autoZero"/>
        <c:crossBetween val="between"/>
      </c:valAx>
    </c:plotArea>
    <c:plotVisOnly val="0"/>
    <c:dispBlanksAs val="gap"/>
    <c:showDLblsOverMax val="1"/>
  </c:chart>
  <c:spPr>
    <a:solidFill>
      <a:srgbClr val="E2EAE2"/>
    </a:solidFill>
    <a:ln w="15240">
      <a:solidFill>
        <a:srgbClr val="A9BDB1"/>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247900" cy="524164"/>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180975</xdr:colOff>
      <xdr:row>4</xdr:row>
      <xdr:rowOff>66675</xdr:rowOff>
    </xdr:from>
    <xdr:ext cx="523875" cy="523875"/>
    <xdr:pic>
      <xdr:nvPicPr>
        <xdr:cNvPr id="2" name="Image 2"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70000</xdr:colOff>
      <xdr:row>20</xdr:row>
      <xdr:rowOff>22000</xdr:rowOff>
    </xdr:from>
    <xdr:ext cx="11952000" cy="2898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70000</xdr:colOff>
      <xdr:row>40</xdr:row>
      <xdr:rowOff>22000</xdr:rowOff>
    </xdr:from>
    <xdr:ext cx="5616000" cy="2358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70000</xdr:colOff>
      <xdr:row>40</xdr:row>
      <xdr:rowOff>22000</xdr:rowOff>
    </xdr:from>
    <xdr:ext cx="5616000" cy="2358000"/>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1</xdr:col>
      <xdr:colOff>70000</xdr:colOff>
      <xdr:row>61</xdr:row>
      <xdr:rowOff>22000</xdr:rowOff>
    </xdr:from>
    <xdr:ext cx="5616000" cy="2358000"/>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8</xdr:col>
      <xdr:colOff>70000</xdr:colOff>
      <xdr:row>61</xdr:row>
      <xdr:rowOff>22000</xdr:rowOff>
    </xdr:from>
    <xdr:ext cx="5616000" cy="2358000"/>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14</xdr:col>
      <xdr:colOff>180975</xdr:colOff>
      <xdr:row>4</xdr:row>
      <xdr:rowOff>66675</xdr:rowOff>
    </xdr:from>
    <xdr:ext cx="523875" cy="523875"/>
    <xdr:pic>
      <xdr:nvPicPr>
        <xdr:cNvPr id="7" name="Image 7" descr="Picture">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moneywithhelmy.com/disclosures.htm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4A56A"/>
    <pageSetUpPr fitToPage="1"/>
  </sheetPr>
  <dimension ref="B1:K46"/>
  <sheetViews>
    <sheetView showGridLines="0" tabSelected="1" zoomScale="90" workbookViewId="0"/>
  </sheetViews>
  <sheetFormatPr defaultRowHeight="14.5" x14ac:dyDescent="0.35"/>
  <cols>
    <col min="1" max="1" width="3" customWidth="1"/>
    <col min="2" max="2" width="11" customWidth="1"/>
    <col min="3" max="11" width="13" customWidth="1"/>
    <col min="12" max="12" width="4" customWidth="1"/>
  </cols>
  <sheetData>
    <row r="1" spans="2:11" ht="3" customHeight="1" x14ac:dyDescent="0.35"/>
    <row r="2" spans="2:11" ht="23" customHeight="1" x14ac:dyDescent="0.35">
      <c r="B2" s="57"/>
      <c r="C2" s="58"/>
      <c r="D2" s="58"/>
      <c r="E2" s="58"/>
      <c r="F2" s="58"/>
      <c r="G2" s="58"/>
      <c r="H2" s="58"/>
      <c r="I2" s="58"/>
      <c r="J2" s="58"/>
      <c r="K2" s="59"/>
    </row>
    <row r="3" spans="2:11" ht="18" customHeight="1" x14ac:dyDescent="0.35">
      <c r="B3" s="3"/>
      <c r="C3" s="3"/>
      <c r="D3" s="3"/>
      <c r="E3" s="3"/>
      <c r="F3" s="3"/>
      <c r="G3" s="3"/>
      <c r="H3" s="3"/>
      <c r="I3" s="3"/>
      <c r="J3" s="3"/>
      <c r="K3" s="3"/>
    </row>
    <row r="4" spans="2:11" ht="3" customHeight="1" x14ac:dyDescent="0.35">
      <c r="B4" s="60"/>
      <c r="C4" s="61"/>
      <c r="D4" s="61"/>
      <c r="E4" s="61"/>
      <c r="F4" s="61"/>
      <c r="G4" s="61"/>
      <c r="H4" s="61"/>
      <c r="I4" s="61"/>
      <c r="J4" s="61"/>
      <c r="K4" s="62"/>
    </row>
    <row r="5" spans="2:11" ht="4" customHeight="1" x14ac:dyDescent="0.35">
      <c r="B5" s="3"/>
      <c r="C5" s="3"/>
      <c r="D5" s="3"/>
      <c r="E5" s="3"/>
      <c r="F5" s="3"/>
      <c r="G5" s="3"/>
      <c r="H5" s="3"/>
      <c r="I5" s="3"/>
      <c r="J5" s="3"/>
      <c r="K5" s="3"/>
    </row>
    <row r="6" spans="2:11" ht="30" customHeight="1" x14ac:dyDescent="0.35">
      <c r="B6" s="88" t="s">
        <v>0</v>
      </c>
      <c r="C6" s="89"/>
      <c r="D6" s="89"/>
      <c r="E6" s="89"/>
      <c r="F6" s="89"/>
      <c r="G6" s="89"/>
      <c r="H6" s="89"/>
      <c r="I6" s="89"/>
      <c r="J6" s="89"/>
      <c r="K6" s="90"/>
    </row>
    <row r="7" spans="2:11" ht="22" customHeight="1" x14ac:dyDescent="0.35">
      <c r="B7" s="87" t="s">
        <v>1</v>
      </c>
      <c r="C7" s="73"/>
      <c r="D7" s="73"/>
      <c r="E7" s="73"/>
      <c r="F7" s="73"/>
      <c r="G7" s="73"/>
      <c r="H7" s="73"/>
      <c r="I7" s="73"/>
      <c r="J7" s="73"/>
      <c r="K7" s="73"/>
    </row>
    <row r="8" spans="2:11" ht="7" customHeight="1" x14ac:dyDescent="0.35"/>
    <row r="9" spans="2:11" ht="28" customHeight="1" x14ac:dyDescent="0.35">
      <c r="B9" s="77" t="s">
        <v>2</v>
      </c>
      <c r="C9" s="78"/>
      <c r="D9" s="78"/>
      <c r="E9" s="78"/>
      <c r="F9" s="78"/>
      <c r="G9" s="78"/>
      <c r="H9" s="78"/>
      <c r="I9" s="78"/>
      <c r="J9" s="78"/>
      <c r="K9" s="79"/>
    </row>
    <row r="10" spans="2:11" ht="35" customHeight="1" x14ac:dyDescent="0.35">
      <c r="B10" s="84" t="s">
        <v>3</v>
      </c>
      <c r="C10" s="75"/>
      <c r="D10" s="85" t="s">
        <v>4</v>
      </c>
      <c r="E10" s="75"/>
      <c r="F10" s="75"/>
      <c r="G10" s="75"/>
      <c r="H10" s="75"/>
      <c r="I10" s="75"/>
      <c r="J10" s="75"/>
      <c r="K10" s="81"/>
    </row>
    <row r="11" spans="2:11" ht="35" customHeight="1" x14ac:dyDescent="0.35">
      <c r="B11" s="74" t="s">
        <v>5</v>
      </c>
      <c r="C11" s="75"/>
      <c r="D11" s="80" t="s">
        <v>6</v>
      </c>
      <c r="E11" s="75"/>
      <c r="F11" s="75"/>
      <c r="G11" s="75"/>
      <c r="H11" s="75"/>
      <c r="I11" s="75"/>
      <c r="J11" s="75"/>
      <c r="K11" s="81"/>
    </row>
    <row r="12" spans="2:11" ht="35" customHeight="1" x14ac:dyDescent="0.35">
      <c r="B12" s="84" t="s">
        <v>7</v>
      </c>
      <c r="C12" s="75"/>
      <c r="D12" s="85" t="s">
        <v>8</v>
      </c>
      <c r="E12" s="75"/>
      <c r="F12" s="75"/>
      <c r="G12" s="75"/>
      <c r="H12" s="75"/>
      <c r="I12" s="75"/>
      <c r="J12" s="75"/>
      <c r="K12" s="81"/>
    </row>
    <row r="13" spans="2:11" ht="7" customHeight="1" x14ac:dyDescent="0.35"/>
    <row r="14" spans="2:11" ht="7" customHeight="1" x14ac:dyDescent="0.35">
      <c r="B14" s="73"/>
      <c r="C14" s="73"/>
      <c r="D14" s="73"/>
      <c r="E14" s="73"/>
      <c r="F14" s="73"/>
      <c r="G14" s="73"/>
      <c r="H14" s="73"/>
      <c r="I14" s="73"/>
      <c r="J14" s="73"/>
      <c r="K14" s="73"/>
    </row>
    <row r="15" spans="2:11" ht="24" customHeight="1" x14ac:dyDescent="0.35">
      <c r="B15" s="86" t="s">
        <v>9</v>
      </c>
      <c r="C15" s="75"/>
      <c r="D15" s="75"/>
      <c r="E15" s="75"/>
      <c r="F15" s="75"/>
      <c r="G15" s="75"/>
      <c r="H15" s="75"/>
      <c r="I15" s="75"/>
      <c r="J15" s="75"/>
      <c r="K15" s="81"/>
    </row>
    <row r="16" spans="2:11" ht="44" customHeight="1" x14ac:dyDescent="0.35">
      <c r="B16" s="86" t="s">
        <v>10</v>
      </c>
      <c r="C16" s="75"/>
      <c r="D16" s="75"/>
      <c r="E16" s="75"/>
      <c r="F16" s="75"/>
      <c r="G16" s="75"/>
      <c r="H16" s="75"/>
      <c r="I16" s="75"/>
      <c r="J16" s="75"/>
      <c r="K16" s="81"/>
    </row>
    <row r="17" spans="2:11" ht="36" customHeight="1" x14ac:dyDescent="0.35">
      <c r="B17" s="76" t="s">
        <v>11</v>
      </c>
      <c r="C17" s="73"/>
      <c r="D17" s="73"/>
      <c r="E17" s="73"/>
      <c r="F17" s="73"/>
      <c r="G17" s="73"/>
      <c r="H17" s="73"/>
      <c r="I17" s="73"/>
      <c r="J17" s="73"/>
      <c r="K17" s="73"/>
    </row>
    <row r="18" spans="2:11" ht="44" customHeight="1" x14ac:dyDescent="0.35">
      <c r="B18" s="82" t="s">
        <v>12</v>
      </c>
      <c r="C18" s="83"/>
      <c r="D18" s="83"/>
      <c r="E18" s="83"/>
      <c r="F18" s="83"/>
      <c r="G18" s="83"/>
      <c r="H18" s="83"/>
      <c r="I18" s="83"/>
      <c r="J18" s="83"/>
      <c r="K18" s="83"/>
    </row>
    <row r="19" spans="2:11" ht="7" customHeight="1" x14ac:dyDescent="0.35"/>
    <row r="20" spans="2:11" ht="7" customHeight="1" x14ac:dyDescent="0.35"/>
    <row r="21" spans="2:11" ht="18" customHeight="1" x14ac:dyDescent="0.35"/>
    <row r="22" spans="2:11" ht="18" customHeight="1" x14ac:dyDescent="0.35"/>
    <row r="23" spans="2:11" ht="18" customHeight="1" x14ac:dyDescent="0.35"/>
    <row r="24" spans="2:11" ht="18" customHeight="1" x14ac:dyDescent="0.35"/>
    <row r="25" spans="2:11" ht="18" customHeight="1" x14ac:dyDescent="0.35"/>
    <row r="26" spans="2:11" ht="18" customHeight="1" x14ac:dyDescent="0.35"/>
    <row r="27" spans="2:11" ht="18" customHeight="1" x14ac:dyDescent="0.35"/>
    <row r="28" spans="2:11" ht="18" customHeight="1" x14ac:dyDescent="0.35"/>
    <row r="29" spans="2:11" ht="18" customHeight="1" x14ac:dyDescent="0.35"/>
    <row r="30" spans="2:11" ht="18" customHeight="1" x14ac:dyDescent="0.35"/>
    <row r="31" spans="2:11" ht="18" customHeight="1" x14ac:dyDescent="0.35"/>
    <row r="32" spans="2:11" ht="18" customHeight="1" x14ac:dyDescent="0.35"/>
    <row r="33" ht="18" customHeight="1" x14ac:dyDescent="0.35"/>
    <row r="34" ht="18" customHeight="1" x14ac:dyDescent="0.35"/>
    <row r="35" ht="18" customHeight="1" x14ac:dyDescent="0.35"/>
    <row r="36" ht="18" customHeight="1" x14ac:dyDescent="0.35"/>
    <row r="37" ht="18" customHeight="1" x14ac:dyDescent="0.35"/>
    <row r="38" ht="18" customHeight="1" x14ac:dyDescent="0.35"/>
    <row r="39" ht="18" customHeight="1" x14ac:dyDescent="0.35"/>
    <row r="40" ht="18" customHeight="1" x14ac:dyDescent="0.35"/>
    <row r="41" ht="8" customHeight="1" x14ac:dyDescent="0.35"/>
    <row r="42" ht="8" customHeight="1" x14ac:dyDescent="0.35"/>
    <row r="43" ht="8" customHeight="1" x14ac:dyDescent="0.35"/>
    <row r="44" ht="8" customHeight="1" x14ac:dyDescent="0.35"/>
    <row r="45" ht="8" customHeight="1" x14ac:dyDescent="0.35"/>
    <row r="46" ht="8" customHeight="1" x14ac:dyDescent="0.35"/>
  </sheetData>
  <mergeCells count="14">
    <mergeCell ref="B7:K7"/>
    <mergeCell ref="B6:K6"/>
    <mergeCell ref="B16:K16"/>
    <mergeCell ref="B12:C12"/>
    <mergeCell ref="B18:K18"/>
    <mergeCell ref="B10:C10"/>
    <mergeCell ref="D10:K10"/>
    <mergeCell ref="D12:K12"/>
    <mergeCell ref="B15:K15"/>
    <mergeCell ref="B14:K14"/>
    <mergeCell ref="B11:C11"/>
    <mergeCell ref="B17:K17"/>
    <mergeCell ref="B9:K9"/>
    <mergeCell ref="D11:K11"/>
  </mergeCells>
  <hyperlinks>
    <hyperlink ref="B18" r:id="rId1" xr:uid="{00000000-0004-0000-0000-000000000000}"/>
  </hyperlinks>
  <printOptions horizontalCentered="1"/>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7B6B"/>
    <pageSetUpPr fitToPage="1"/>
  </sheetPr>
  <dimension ref="B1:BW391"/>
  <sheetViews>
    <sheetView showGridLines="0" zoomScale="90" workbookViewId="0">
      <pane xSplit="4" ySplit="11" topLeftCell="E12" activePane="bottomRight" state="frozen"/>
      <selection pane="topRight"/>
      <selection pane="bottomLeft"/>
      <selection pane="bottomRight"/>
    </sheetView>
  </sheetViews>
  <sheetFormatPr defaultRowHeight="14.5" x14ac:dyDescent="0.35"/>
  <cols>
    <col min="1" max="1" width="3" customWidth="1"/>
    <col min="2" max="2" width="45" customWidth="1"/>
    <col min="3" max="3" width="13" customWidth="1"/>
    <col min="4" max="4" width="17" customWidth="1"/>
    <col min="5" max="64" width="14" customWidth="1"/>
    <col min="65" max="75" width="13" hidden="1" customWidth="1"/>
  </cols>
  <sheetData>
    <row r="1" spans="2:75" ht="2" hidden="1" customHeight="1" x14ac:dyDescent="0.35"/>
    <row r="2" spans="2:75" ht="2" hidden="1" customHeight="1" x14ac:dyDescent="0.35">
      <c r="B2" s="25"/>
      <c r="C2" s="26"/>
      <c r="D2" s="26"/>
      <c r="E2" s="26"/>
      <c r="F2" s="26"/>
      <c r="G2" s="26"/>
      <c r="H2" s="26"/>
      <c r="I2" s="26"/>
      <c r="J2" s="26"/>
      <c r="K2" s="26"/>
      <c r="L2" s="26"/>
      <c r="M2" s="26"/>
      <c r="N2" s="27"/>
      <c r="O2" s="28"/>
    </row>
    <row r="3" spans="2:75" ht="2" hidden="1" customHeight="1" x14ac:dyDescent="0.35">
      <c r="B3" s="29"/>
      <c r="C3" s="29"/>
      <c r="D3" s="29"/>
      <c r="E3" s="29"/>
      <c r="F3" s="29"/>
      <c r="G3" s="29"/>
      <c r="H3" s="29"/>
      <c r="I3" s="29"/>
      <c r="J3" s="29"/>
      <c r="K3" s="29"/>
      <c r="L3" s="29"/>
      <c r="M3" s="29"/>
      <c r="N3" s="1"/>
      <c r="O3" s="1"/>
    </row>
    <row r="4" spans="2:75" ht="2" hidden="1" customHeight="1" x14ac:dyDescent="0.35">
      <c r="B4" s="30"/>
      <c r="C4" s="31"/>
      <c r="D4" s="31"/>
      <c r="E4" s="31"/>
      <c r="F4" s="31"/>
      <c r="G4" s="31"/>
      <c r="H4" s="31"/>
      <c r="I4" s="31"/>
      <c r="J4" s="31"/>
      <c r="K4" s="31"/>
      <c r="L4" s="31"/>
      <c r="M4" s="31"/>
      <c r="N4" s="31"/>
      <c r="O4" s="32"/>
    </row>
    <row r="5" spans="2:75" ht="52" customHeight="1" x14ac:dyDescent="0.35">
      <c r="B5" s="101" t="s">
        <v>13</v>
      </c>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90"/>
    </row>
    <row r="6" spans="2:75" ht="3" customHeight="1" x14ac:dyDescent="0.35">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row>
    <row r="7" spans="2:75" ht="23" customHeight="1" x14ac:dyDescent="0.35">
      <c r="B7" s="64" t="s">
        <v>14</v>
      </c>
      <c r="C7" s="65" t="s">
        <v>15</v>
      </c>
      <c r="D7" s="7"/>
      <c r="E7" s="7"/>
      <c r="F7" s="7"/>
      <c r="G7" s="7"/>
      <c r="H7" s="7"/>
      <c r="I7" s="7"/>
      <c r="J7" s="7"/>
      <c r="K7" s="7"/>
      <c r="L7" s="7"/>
      <c r="M7" s="7"/>
      <c r="N7" s="7"/>
      <c r="O7" s="7"/>
    </row>
    <row r="8" spans="2:75" ht="18" customHeight="1" x14ac:dyDescent="0.35">
      <c r="B8" s="98" t="s">
        <v>16</v>
      </c>
      <c r="C8" s="99"/>
      <c r="D8" s="99"/>
      <c r="E8" s="99"/>
      <c r="F8" s="99"/>
      <c r="G8" s="99"/>
      <c r="H8" s="99"/>
      <c r="I8" s="99"/>
      <c r="J8" s="99"/>
      <c r="K8" s="99"/>
      <c r="L8" s="100"/>
    </row>
    <row r="9" spans="2:75" ht="2" customHeight="1" x14ac:dyDescent="0.35">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Q9" s="2" t="str">
        <f>IF(E323=1,TEXT(E10,"mmm yy"),"")</f>
        <v/>
      </c>
      <c r="BR9" s="2"/>
      <c r="BS9">
        <f>IF(Dashboard!$Q$3&lt;1,0,MATCH(1,$E$386:$BL$386,0))</f>
        <v>0</v>
      </c>
      <c r="BT9" s="2" t="str">
        <f>IF(BS9=0,"",IF(OR(Dashboard!$Q$3&lt;=12,MOD(0,IF(Dashboard!$Q$3&lt;=24,2,IF(Dashboard!$Q$3&lt;=36,3,6)))=0,Dashboard!$Q$3=1),TEXT(INDEX($E$10:$BL$10,1,BS9),"mmm yy"),""))</f>
        <v/>
      </c>
      <c r="BU9" s="2" t="str">
        <f t="shared" ref="BU9:BU40" si="0">IF(BS9=0,"",INDEX($E$326:$BL$326,1,BS9))</f>
        <v/>
      </c>
      <c r="BV9" s="72">
        <f>IF(Dashboard!$Q$3=0,$E$10,INDEX($E$10:$BL$10,1,IF(BS9=0,Dashboard!$Q$2,BS9)))</f>
        <v>46296</v>
      </c>
      <c r="BW9" t="str">
        <f>IF(Dashboard!$Q$3=0,"",INDEX($E$326:$BL$326,1,IF(BS9=0,Dashboard!$Q$2,BS9)))</f>
        <v/>
      </c>
    </row>
    <row r="10" spans="2:75" ht="24" customHeight="1" x14ac:dyDescent="0.35">
      <c r="B10" s="33" t="s">
        <v>17</v>
      </c>
      <c r="C10" s="34" t="s">
        <v>18</v>
      </c>
      <c r="D10" s="69" t="s">
        <v>19</v>
      </c>
      <c r="E10" s="35">
        <v>46296</v>
      </c>
      <c r="F10" s="35">
        <f t="shared" ref="F10:AK10" si="1">IF(ISNUMBER(E10),EDATE(E10,1),"")</f>
        <v>46327</v>
      </c>
      <c r="G10" s="35">
        <f t="shared" si="1"/>
        <v>46357</v>
      </c>
      <c r="H10" s="35">
        <f t="shared" si="1"/>
        <v>46388</v>
      </c>
      <c r="I10" s="35">
        <f t="shared" si="1"/>
        <v>46419</v>
      </c>
      <c r="J10" s="35">
        <f t="shared" si="1"/>
        <v>46447</v>
      </c>
      <c r="K10" s="35">
        <f t="shared" si="1"/>
        <v>46478</v>
      </c>
      <c r="L10" s="35">
        <f t="shared" si="1"/>
        <v>46508</v>
      </c>
      <c r="M10" s="35">
        <f t="shared" si="1"/>
        <v>46539</v>
      </c>
      <c r="N10" s="35">
        <f t="shared" si="1"/>
        <v>46569</v>
      </c>
      <c r="O10" s="35">
        <f t="shared" si="1"/>
        <v>46600</v>
      </c>
      <c r="P10" s="36">
        <f t="shared" si="1"/>
        <v>46631</v>
      </c>
      <c r="Q10" s="35">
        <f t="shared" si="1"/>
        <v>46661</v>
      </c>
      <c r="R10" s="35">
        <f t="shared" si="1"/>
        <v>46692</v>
      </c>
      <c r="S10" s="35">
        <f t="shared" si="1"/>
        <v>46722</v>
      </c>
      <c r="T10" s="35">
        <f t="shared" si="1"/>
        <v>46753</v>
      </c>
      <c r="U10" s="35">
        <f t="shared" si="1"/>
        <v>46784</v>
      </c>
      <c r="V10" s="35">
        <f t="shared" si="1"/>
        <v>46813</v>
      </c>
      <c r="W10" s="35">
        <f t="shared" si="1"/>
        <v>46844</v>
      </c>
      <c r="X10" s="35">
        <f t="shared" si="1"/>
        <v>46874</v>
      </c>
      <c r="Y10" s="35">
        <f t="shared" si="1"/>
        <v>46905</v>
      </c>
      <c r="Z10" s="35">
        <f t="shared" si="1"/>
        <v>46935</v>
      </c>
      <c r="AA10" s="35">
        <f t="shared" si="1"/>
        <v>46966</v>
      </c>
      <c r="AB10" s="36">
        <f t="shared" si="1"/>
        <v>46997</v>
      </c>
      <c r="AC10" s="35">
        <f t="shared" si="1"/>
        <v>47027</v>
      </c>
      <c r="AD10" s="35">
        <f t="shared" si="1"/>
        <v>47058</v>
      </c>
      <c r="AE10" s="35">
        <f t="shared" si="1"/>
        <v>47088</v>
      </c>
      <c r="AF10" s="35">
        <f t="shared" si="1"/>
        <v>47119</v>
      </c>
      <c r="AG10" s="35">
        <f t="shared" si="1"/>
        <v>47150</v>
      </c>
      <c r="AH10" s="35">
        <f t="shared" si="1"/>
        <v>47178</v>
      </c>
      <c r="AI10" s="35">
        <f t="shared" si="1"/>
        <v>47209</v>
      </c>
      <c r="AJ10" s="35">
        <f t="shared" si="1"/>
        <v>47239</v>
      </c>
      <c r="AK10" s="35">
        <f t="shared" si="1"/>
        <v>47270</v>
      </c>
      <c r="AL10" s="35">
        <f t="shared" ref="AL10:BL10" si="2">IF(ISNUMBER(AK10),EDATE(AK10,1),"")</f>
        <v>47300</v>
      </c>
      <c r="AM10" s="35">
        <f t="shared" si="2"/>
        <v>47331</v>
      </c>
      <c r="AN10" s="36">
        <f t="shared" si="2"/>
        <v>47362</v>
      </c>
      <c r="AO10" s="35">
        <f t="shared" si="2"/>
        <v>47392</v>
      </c>
      <c r="AP10" s="35">
        <f t="shared" si="2"/>
        <v>47423</v>
      </c>
      <c r="AQ10" s="35">
        <f t="shared" si="2"/>
        <v>47453</v>
      </c>
      <c r="AR10" s="35">
        <f t="shared" si="2"/>
        <v>47484</v>
      </c>
      <c r="AS10" s="35">
        <f t="shared" si="2"/>
        <v>47515</v>
      </c>
      <c r="AT10" s="35">
        <f t="shared" si="2"/>
        <v>47543</v>
      </c>
      <c r="AU10" s="35">
        <f t="shared" si="2"/>
        <v>47574</v>
      </c>
      <c r="AV10" s="35">
        <f t="shared" si="2"/>
        <v>47604</v>
      </c>
      <c r="AW10" s="35">
        <f t="shared" si="2"/>
        <v>47635</v>
      </c>
      <c r="AX10" s="35">
        <f t="shared" si="2"/>
        <v>47665</v>
      </c>
      <c r="AY10" s="35">
        <f t="shared" si="2"/>
        <v>47696</v>
      </c>
      <c r="AZ10" s="36">
        <f t="shared" si="2"/>
        <v>47727</v>
      </c>
      <c r="BA10" s="35">
        <f t="shared" si="2"/>
        <v>47757</v>
      </c>
      <c r="BB10" s="35">
        <f t="shared" si="2"/>
        <v>47788</v>
      </c>
      <c r="BC10" s="35">
        <f t="shared" si="2"/>
        <v>47818</v>
      </c>
      <c r="BD10" s="35">
        <f t="shared" si="2"/>
        <v>47849</v>
      </c>
      <c r="BE10" s="35">
        <f t="shared" si="2"/>
        <v>47880</v>
      </c>
      <c r="BF10" s="35">
        <f t="shared" si="2"/>
        <v>47908</v>
      </c>
      <c r="BG10" s="35">
        <f t="shared" si="2"/>
        <v>47939</v>
      </c>
      <c r="BH10" s="35">
        <f t="shared" si="2"/>
        <v>47969</v>
      </c>
      <c r="BI10" s="35">
        <f t="shared" si="2"/>
        <v>48000</v>
      </c>
      <c r="BJ10" s="35">
        <f t="shared" si="2"/>
        <v>48030</v>
      </c>
      <c r="BK10" s="35">
        <f t="shared" si="2"/>
        <v>48061</v>
      </c>
      <c r="BL10" s="36">
        <f t="shared" si="2"/>
        <v>48092</v>
      </c>
      <c r="BQ10" t="str">
        <f>IF(F323=1,TEXT(F10,"mmm yy"),"")</f>
        <v/>
      </c>
      <c r="BS10">
        <f>IF(Dashboard!$Q$3&lt;2,0,MATCH(2,$E$386:$BL$386,0))</f>
        <v>0</v>
      </c>
      <c r="BT10" s="2" t="str">
        <f>IF(BS10=0,"",IF(OR(Dashboard!$Q$3&lt;=12,MOD(1,IF(Dashboard!$Q$3&lt;=24,2,IF(Dashboard!$Q$3&lt;=36,3,6)))=0,Dashboard!$Q$3=2),TEXT(INDEX($E$10:$BL$10,1,BS10),"mmm yy"),""))</f>
        <v/>
      </c>
      <c r="BU10" s="2" t="str">
        <f t="shared" si="0"/>
        <v/>
      </c>
      <c r="BV10" s="72">
        <f>IF(Dashboard!$Q$3=0,$E$10,INDEX($E$10:$BL$10,1,IF(BS10=0,Dashboard!$Q$2,BS10)))</f>
        <v>46296</v>
      </c>
      <c r="BW10" t="str">
        <f>IF(Dashboard!$Q$3=0,"",INDEX($E$326:$BL$326,1,IF(BS10=0,Dashboard!$Q$2,BS10)))</f>
        <v/>
      </c>
    </row>
    <row r="11" spans="2:75" ht="25" customHeight="1" x14ac:dyDescent="0.35">
      <c r="B11" s="91" t="s">
        <v>20</v>
      </c>
      <c r="C11" s="92"/>
      <c r="D11" s="92"/>
      <c r="E11" s="66"/>
      <c r="F11" s="66"/>
      <c r="G11" s="66"/>
      <c r="H11" s="66"/>
      <c r="I11" s="66"/>
      <c r="J11" s="66"/>
      <c r="K11" s="66"/>
      <c r="L11" s="66"/>
      <c r="M11" s="66"/>
      <c r="N11" s="66"/>
      <c r="O11" s="66"/>
      <c r="P11" s="66"/>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8"/>
      <c r="BQ11" t="str">
        <f>IF(G323=1,TEXT(G10,"mmm yy"),"")</f>
        <v/>
      </c>
      <c r="BS11">
        <f>IF(Dashboard!$Q$3&lt;3,0,MATCH(3,$E$386:$BL$386,0))</f>
        <v>0</v>
      </c>
      <c r="BT11" s="2" t="str">
        <f>IF(BS11=0,"",IF(OR(Dashboard!$Q$3&lt;=12,MOD(2,IF(Dashboard!$Q$3&lt;=24,2,IF(Dashboard!$Q$3&lt;=36,3,6)))=0,Dashboard!$Q$3=3),TEXT(INDEX($E$10:$BL$10,1,BS11),"mmm yy"),""))</f>
        <v/>
      </c>
      <c r="BU11" s="2" t="str">
        <f t="shared" si="0"/>
        <v/>
      </c>
      <c r="BV11" s="72">
        <f>IF(Dashboard!$Q$3=0,$E$10,INDEX($E$10:$BL$10,1,IF(BS11=0,Dashboard!$Q$2,BS11)))</f>
        <v>46296</v>
      </c>
      <c r="BW11" t="str">
        <f>IF(Dashboard!$Q$3=0,"",INDEX($E$326:$BL$326,1,IF(BS11=0,Dashboard!$Q$2,BS11)))</f>
        <v/>
      </c>
    </row>
    <row r="12" spans="2:75" ht="7" customHeight="1" x14ac:dyDescent="0.35">
      <c r="B12" s="10"/>
      <c r="C12" s="9"/>
      <c r="D12" s="9"/>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Q12" t="str">
        <f>IF(H323=1,TEXT(H10,"mmm yy"),"")</f>
        <v/>
      </c>
      <c r="BS12">
        <f>IF(Dashboard!$Q$3&lt;4,0,MATCH(4,$E$386:$BL$386,0))</f>
        <v>0</v>
      </c>
      <c r="BT12" s="2" t="str">
        <f>IF(BS12=0,"",IF(OR(Dashboard!$Q$3&lt;=12,MOD(3,IF(Dashboard!$Q$3&lt;=24,2,IF(Dashboard!$Q$3&lt;=36,3,6)))=0,Dashboard!$Q$3=4),TEXT(INDEX($E$10:$BL$10,1,BS12),"mmm yy"),""))</f>
        <v/>
      </c>
      <c r="BU12" s="2" t="str">
        <f t="shared" si="0"/>
        <v/>
      </c>
      <c r="BV12" s="72">
        <f>IF(Dashboard!$Q$3=0,$E$10,INDEX($E$10:$BL$10,1,IF(BS12=0,Dashboard!$Q$2,BS12)))</f>
        <v>46296</v>
      </c>
      <c r="BW12" t="str">
        <f>IF(Dashboard!$Q$3=0,"",INDEX($E$326:$BL$326,1,IF(BS12=0,Dashboard!$Q$2,BS12)))</f>
        <v/>
      </c>
    </row>
    <row r="13" spans="2:75" ht="27" customHeight="1" x14ac:dyDescent="0.35">
      <c r="B13" s="96" t="s">
        <v>21</v>
      </c>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Q13" t="str">
        <f>IF(I323=1,TEXT(I10,"mmm yy"),"")</f>
        <v/>
      </c>
      <c r="BS13">
        <f>IF(Dashboard!$Q$3&lt;5,0,MATCH(5,$E$386:$BL$386,0))</f>
        <v>0</v>
      </c>
      <c r="BT13" s="2" t="str">
        <f>IF(BS13=0,"",IF(OR(Dashboard!$Q$3&lt;=12,MOD(4,IF(Dashboard!$Q$3&lt;=24,2,IF(Dashboard!$Q$3&lt;=36,3,6)))=0,Dashboard!$Q$3=5),TEXT(INDEX($E$10:$BL$10,1,BS13),"mmm yy"),""))</f>
        <v/>
      </c>
      <c r="BU13" s="2" t="str">
        <f t="shared" si="0"/>
        <v/>
      </c>
      <c r="BV13" s="72">
        <f>IF(Dashboard!$Q$3=0,$E$10,INDEX($E$10:$BL$10,1,IF(BS13=0,Dashboard!$Q$2,BS13)))</f>
        <v>46296</v>
      </c>
      <c r="BW13" t="str">
        <f>IF(Dashboard!$Q$3=0,"",INDEX($E$326:$BL$326,1,IF(BS13=0,Dashboard!$Q$2,BS13)))</f>
        <v/>
      </c>
    </row>
    <row r="14" spans="2:75" ht="23" customHeight="1" x14ac:dyDescent="0.35">
      <c r="B14" s="11" t="s">
        <v>22</v>
      </c>
      <c r="C14" s="12" t="s">
        <v>15</v>
      </c>
      <c r="D14" s="13"/>
      <c r="E14" s="14"/>
      <c r="F14" s="14"/>
      <c r="G14" s="14"/>
      <c r="H14" s="14"/>
      <c r="I14" s="14"/>
      <c r="J14" s="14"/>
      <c r="K14" s="14"/>
      <c r="L14" s="14"/>
      <c r="M14" s="14"/>
      <c r="N14" s="14"/>
      <c r="O14" s="14"/>
      <c r="P14" s="14"/>
      <c r="Q14" s="15"/>
      <c r="R14" s="15"/>
      <c r="S14" s="15"/>
      <c r="T14" s="15"/>
      <c r="U14" s="15"/>
      <c r="V14" s="15"/>
      <c r="W14" s="15"/>
      <c r="X14" s="15"/>
      <c r="Y14" s="15"/>
      <c r="Z14" s="15"/>
      <c r="AA14" s="15"/>
      <c r="AB14" s="15"/>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t="s">
        <v>23</v>
      </c>
      <c r="BN14" t="s">
        <v>24</v>
      </c>
      <c r="BO14" t="s">
        <v>25</v>
      </c>
      <c r="BQ14" t="str">
        <f>IF(J323=1,TEXT(J10,"mmm yy"),"")</f>
        <v/>
      </c>
      <c r="BS14">
        <f>IF(Dashboard!$Q$3&lt;6,0,MATCH(6,$E$386:$BL$386,0))</f>
        <v>0</v>
      </c>
      <c r="BT14" s="2" t="str">
        <f>IF(BS14=0,"",IF(OR(Dashboard!$Q$3&lt;=12,MOD(5,IF(Dashboard!$Q$3&lt;=24,2,IF(Dashboard!$Q$3&lt;=36,3,6)))=0,Dashboard!$Q$3=6),TEXT(INDEX($E$10:$BL$10,1,BS14),"mmm yy"),""))</f>
        <v/>
      </c>
      <c r="BU14" s="2" t="str">
        <f t="shared" si="0"/>
        <v/>
      </c>
      <c r="BV14" s="72">
        <f>IF(Dashboard!$Q$3=0,$E$10,INDEX($E$10:$BL$10,1,IF(BS14=0,Dashboard!$Q$2,BS14)))</f>
        <v>46296</v>
      </c>
      <c r="BW14" t="str">
        <f>IF(Dashboard!$Q$3=0,"",INDEX($E$326:$BL$326,1,IF(BS14=0,Dashboard!$Q$2,BS14)))</f>
        <v/>
      </c>
    </row>
    <row r="15" spans="2:75" ht="23" customHeight="1" x14ac:dyDescent="0.35">
      <c r="B15" s="17" t="s">
        <v>26</v>
      </c>
      <c r="C15" s="18" t="s">
        <v>15</v>
      </c>
      <c r="D15" s="19"/>
      <c r="E15" s="14"/>
      <c r="F15" s="14"/>
      <c r="G15" s="14"/>
      <c r="H15" s="14"/>
      <c r="I15" s="14"/>
      <c r="J15" s="14"/>
      <c r="K15" s="14"/>
      <c r="L15" s="14"/>
      <c r="M15" s="14"/>
      <c r="N15" s="14"/>
      <c r="O15" s="14"/>
      <c r="P15" s="14"/>
      <c r="Q15" s="15"/>
      <c r="R15" s="15"/>
      <c r="S15" s="15"/>
      <c r="T15" s="15"/>
      <c r="U15" s="15"/>
      <c r="V15" s="15"/>
      <c r="W15" s="15"/>
      <c r="X15" s="15"/>
      <c r="Y15" s="15"/>
      <c r="Z15" s="15"/>
      <c r="AA15" s="15"/>
      <c r="AB15" s="15"/>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t="s">
        <v>23</v>
      </c>
      <c r="BN15" t="s">
        <v>24</v>
      </c>
      <c r="BO15" t="s">
        <v>25</v>
      </c>
      <c r="BQ15" t="str">
        <f>IF(K323=1,TEXT(K10,"mmm yy"),"")</f>
        <v/>
      </c>
      <c r="BS15">
        <f>IF(Dashboard!$Q$3&lt;7,0,MATCH(7,$E$386:$BL$386,0))</f>
        <v>0</v>
      </c>
      <c r="BT15" s="2" t="str">
        <f>IF(BS15=0,"",IF(OR(Dashboard!$Q$3&lt;=12,MOD(6,IF(Dashboard!$Q$3&lt;=24,2,IF(Dashboard!$Q$3&lt;=36,3,6)))=0,Dashboard!$Q$3=7),TEXT(INDEX($E$10:$BL$10,1,BS15),"mmm yy"),""))</f>
        <v/>
      </c>
      <c r="BU15" s="2" t="str">
        <f t="shared" si="0"/>
        <v/>
      </c>
      <c r="BV15" s="72">
        <f>IF(Dashboard!$Q$3=0,$E$10,INDEX($E$10:$BL$10,1,IF(BS15=0,Dashboard!$Q$2,BS15)))</f>
        <v>46296</v>
      </c>
      <c r="BW15" t="str">
        <f>IF(Dashboard!$Q$3=0,"",INDEX($E$326:$BL$326,1,IF(BS15=0,Dashboard!$Q$2,BS15)))</f>
        <v/>
      </c>
    </row>
    <row r="16" spans="2:75" ht="23" customHeight="1" x14ac:dyDescent="0.35">
      <c r="B16" s="11" t="s">
        <v>27</v>
      </c>
      <c r="C16" s="12" t="s">
        <v>28</v>
      </c>
      <c r="D16" s="13"/>
      <c r="E16" s="14"/>
      <c r="F16" s="14"/>
      <c r="G16" s="14"/>
      <c r="H16" s="14"/>
      <c r="I16" s="14"/>
      <c r="J16" s="14"/>
      <c r="K16" s="14"/>
      <c r="L16" s="14"/>
      <c r="M16" s="14"/>
      <c r="N16" s="14"/>
      <c r="O16" s="14"/>
      <c r="P16" s="14"/>
      <c r="Q16" s="15"/>
      <c r="R16" s="15"/>
      <c r="S16" s="15"/>
      <c r="T16" s="15"/>
      <c r="U16" s="15"/>
      <c r="V16" s="15"/>
      <c r="W16" s="15"/>
      <c r="X16" s="15"/>
      <c r="Y16" s="15"/>
      <c r="Z16" s="15"/>
      <c r="AA16" s="15"/>
      <c r="AB16" s="15"/>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t="s">
        <v>23</v>
      </c>
      <c r="BN16" t="s">
        <v>24</v>
      </c>
      <c r="BO16" t="s">
        <v>25</v>
      </c>
      <c r="BQ16" t="str">
        <f>IF(L323=1,TEXT(L10,"mmm yy"),"")</f>
        <v/>
      </c>
      <c r="BS16">
        <f>IF(Dashboard!$Q$3&lt;8,0,MATCH(8,$E$386:$BL$386,0))</f>
        <v>0</v>
      </c>
      <c r="BT16" s="2" t="str">
        <f>IF(BS16=0,"",IF(OR(Dashboard!$Q$3&lt;=12,MOD(7,IF(Dashboard!$Q$3&lt;=24,2,IF(Dashboard!$Q$3&lt;=36,3,6)))=0,Dashboard!$Q$3=8),TEXT(INDEX($E$10:$BL$10,1,BS16),"mmm yy"),""))</f>
        <v/>
      </c>
      <c r="BU16" s="2" t="str">
        <f t="shared" si="0"/>
        <v/>
      </c>
      <c r="BV16" s="72">
        <f>IF(Dashboard!$Q$3=0,$E$10,INDEX($E$10:$BL$10,1,IF(BS16=0,Dashboard!$Q$2,BS16)))</f>
        <v>46296</v>
      </c>
      <c r="BW16" t="str">
        <f>IF(Dashboard!$Q$3=0,"",INDEX($E$326:$BL$326,1,IF(BS16=0,Dashboard!$Q$2,BS16)))</f>
        <v/>
      </c>
    </row>
    <row r="17" spans="2:75" ht="23" customHeight="1" x14ac:dyDescent="0.35">
      <c r="B17" s="17" t="s">
        <v>29</v>
      </c>
      <c r="C17" s="18" t="s">
        <v>15</v>
      </c>
      <c r="D17" s="19"/>
      <c r="E17" s="14"/>
      <c r="F17" s="14"/>
      <c r="G17" s="14"/>
      <c r="H17" s="14"/>
      <c r="I17" s="14"/>
      <c r="J17" s="14"/>
      <c r="K17" s="14"/>
      <c r="L17" s="14"/>
      <c r="M17" s="14"/>
      <c r="N17" s="14"/>
      <c r="O17" s="14"/>
      <c r="P17" s="14"/>
      <c r="Q17" s="15"/>
      <c r="R17" s="15"/>
      <c r="S17" s="15"/>
      <c r="T17" s="15"/>
      <c r="U17" s="15"/>
      <c r="V17" s="15"/>
      <c r="W17" s="15"/>
      <c r="X17" s="15"/>
      <c r="Y17" s="15"/>
      <c r="Z17" s="15"/>
      <c r="AA17" s="15"/>
      <c r="AB17" s="15"/>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t="s">
        <v>23</v>
      </c>
      <c r="BN17" t="s">
        <v>24</v>
      </c>
      <c r="BO17" t="s">
        <v>25</v>
      </c>
      <c r="BQ17" t="str">
        <f>IF(M323=1,TEXT(M10,"mmm yy"),"")</f>
        <v/>
      </c>
      <c r="BS17">
        <f>IF(Dashboard!$Q$3&lt;9,0,MATCH(9,$E$386:$BL$386,0))</f>
        <v>0</v>
      </c>
      <c r="BT17" s="2" t="str">
        <f>IF(BS17=0,"",IF(OR(Dashboard!$Q$3&lt;=12,MOD(8,IF(Dashboard!$Q$3&lt;=24,2,IF(Dashboard!$Q$3&lt;=36,3,6)))=0,Dashboard!$Q$3=9),TEXT(INDEX($E$10:$BL$10,1,BS17),"mmm yy"),""))</f>
        <v/>
      </c>
      <c r="BU17" s="2" t="str">
        <f t="shared" si="0"/>
        <v/>
      </c>
      <c r="BV17" s="72">
        <f>IF(Dashboard!$Q$3=0,$E$10,INDEX($E$10:$BL$10,1,IF(BS17=0,Dashboard!$Q$2,BS17)))</f>
        <v>46296</v>
      </c>
      <c r="BW17" t="str">
        <f>IF(Dashboard!$Q$3=0,"",INDEX($E$326:$BL$326,1,IF(BS17=0,Dashboard!$Q$2,BS17)))</f>
        <v/>
      </c>
    </row>
    <row r="18" spans="2:75" ht="23" customHeight="1" x14ac:dyDescent="0.35">
      <c r="B18" s="11" t="s">
        <v>30</v>
      </c>
      <c r="C18" s="12" t="s">
        <v>28</v>
      </c>
      <c r="D18" s="13"/>
      <c r="E18" s="14"/>
      <c r="F18" s="14"/>
      <c r="G18" s="14"/>
      <c r="H18" s="14"/>
      <c r="I18" s="14"/>
      <c r="J18" s="14"/>
      <c r="K18" s="14"/>
      <c r="L18" s="14"/>
      <c r="M18" s="14"/>
      <c r="N18" s="14"/>
      <c r="O18" s="14"/>
      <c r="P18" s="14"/>
      <c r="Q18" s="15"/>
      <c r="R18" s="15"/>
      <c r="S18" s="15"/>
      <c r="T18" s="15"/>
      <c r="U18" s="15"/>
      <c r="V18" s="15"/>
      <c r="W18" s="15"/>
      <c r="X18" s="15"/>
      <c r="Y18" s="15"/>
      <c r="Z18" s="15"/>
      <c r="AA18" s="15"/>
      <c r="AB18" s="15"/>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t="s">
        <v>23</v>
      </c>
      <c r="BN18" t="s">
        <v>24</v>
      </c>
      <c r="BO18" t="s">
        <v>25</v>
      </c>
      <c r="BQ18" t="str">
        <f>IF(N323=1,TEXT(N10,"mmm yy"),"")</f>
        <v/>
      </c>
      <c r="BS18">
        <f>IF(Dashboard!$Q$3&lt;10,0,MATCH(10,$E$386:$BL$386,0))</f>
        <v>0</v>
      </c>
      <c r="BT18" s="2" t="str">
        <f>IF(BS18=0,"",IF(OR(Dashboard!$Q$3&lt;=12,MOD(9,IF(Dashboard!$Q$3&lt;=24,2,IF(Dashboard!$Q$3&lt;=36,3,6)))=0,Dashboard!$Q$3=10),TEXT(INDEX($E$10:$BL$10,1,BS18),"mmm yy"),""))</f>
        <v/>
      </c>
      <c r="BU18" s="2" t="str">
        <f t="shared" si="0"/>
        <v/>
      </c>
      <c r="BV18" s="72">
        <f>IF(Dashboard!$Q$3=0,$E$10,INDEX($E$10:$BL$10,1,IF(BS18=0,Dashboard!$Q$2,BS18)))</f>
        <v>46296</v>
      </c>
      <c r="BW18" t="str">
        <f>IF(Dashboard!$Q$3=0,"",INDEX($E$326:$BL$326,1,IF(BS18=0,Dashboard!$Q$2,BS18)))</f>
        <v/>
      </c>
    </row>
    <row r="19" spans="2:75" ht="8" customHeight="1" x14ac:dyDescent="0.35">
      <c r="B19" s="10"/>
      <c r="C19" s="9"/>
      <c r="D19" s="9"/>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Q19" t="str">
        <f>IF(O323=1,TEXT(O10,"mmm yy"),"")</f>
        <v/>
      </c>
      <c r="BS19">
        <f>IF(Dashboard!$Q$3&lt;11,0,MATCH(11,$E$386:$BL$386,0))</f>
        <v>0</v>
      </c>
      <c r="BT19" s="2" t="str">
        <f>IF(BS19=0,"",IF(OR(Dashboard!$Q$3&lt;=12,MOD(10,IF(Dashboard!$Q$3&lt;=24,2,IF(Dashboard!$Q$3&lt;=36,3,6)))=0,Dashboard!$Q$3=11),TEXT(INDEX($E$10:$BL$10,1,BS19),"mmm yy"),""))</f>
        <v/>
      </c>
      <c r="BU19" s="2" t="str">
        <f t="shared" si="0"/>
        <v/>
      </c>
      <c r="BV19" s="72">
        <f>IF(Dashboard!$Q$3=0,$E$10,INDEX($E$10:$BL$10,1,IF(BS19=0,Dashboard!$Q$2,BS19)))</f>
        <v>46296</v>
      </c>
      <c r="BW19" t="str">
        <f>IF(Dashboard!$Q$3=0,"",INDEX($E$326:$BL$326,1,IF(BS19=0,Dashboard!$Q$2,BS19)))</f>
        <v/>
      </c>
    </row>
    <row r="20" spans="2:75" ht="27" customHeight="1" x14ac:dyDescent="0.35">
      <c r="B20" s="96" t="s">
        <v>31</v>
      </c>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Q20" t="str">
        <f>IF(P323=1,TEXT(P10,"mmm yy"),"")</f>
        <v/>
      </c>
      <c r="BS20">
        <f>IF(Dashboard!$Q$3&lt;12,0,MATCH(12,$E$386:$BL$386,0))</f>
        <v>0</v>
      </c>
      <c r="BT20" s="2" t="str">
        <f>IF(BS20=0,"",IF(OR(Dashboard!$Q$3&lt;=12,MOD(11,IF(Dashboard!$Q$3&lt;=24,2,IF(Dashboard!$Q$3&lt;=36,3,6)))=0,Dashboard!$Q$3=12),TEXT(INDEX($E$10:$BL$10,1,BS20),"mmm yy"),""))</f>
        <v/>
      </c>
      <c r="BU20" s="2" t="str">
        <f t="shared" si="0"/>
        <v/>
      </c>
      <c r="BV20" s="72">
        <f>IF(Dashboard!$Q$3=0,$E$10,INDEX($E$10:$BL$10,1,IF(BS20=0,Dashboard!$Q$2,BS20)))</f>
        <v>46296</v>
      </c>
      <c r="BW20" t="str">
        <f>IF(Dashboard!$Q$3=0,"",INDEX($E$326:$BL$326,1,IF(BS20=0,Dashboard!$Q$2,BS20)))</f>
        <v/>
      </c>
    </row>
    <row r="21" spans="2:75" ht="23" customHeight="1" x14ac:dyDescent="0.35">
      <c r="B21" s="17" t="s">
        <v>32</v>
      </c>
      <c r="C21" s="18" t="s">
        <v>15</v>
      </c>
      <c r="D21" s="19"/>
      <c r="E21" s="14"/>
      <c r="F21" s="14"/>
      <c r="G21" s="14"/>
      <c r="H21" s="14"/>
      <c r="I21" s="14"/>
      <c r="J21" s="14"/>
      <c r="K21" s="14"/>
      <c r="L21" s="14"/>
      <c r="M21" s="14"/>
      <c r="N21" s="14"/>
      <c r="O21" s="14"/>
      <c r="P21" s="14"/>
      <c r="Q21" s="15"/>
      <c r="R21" s="15"/>
      <c r="S21" s="15"/>
      <c r="T21" s="15"/>
      <c r="U21" s="15"/>
      <c r="V21" s="15"/>
      <c r="W21" s="15"/>
      <c r="X21" s="15"/>
      <c r="Y21" s="15"/>
      <c r="Z21" s="15"/>
      <c r="AA21" s="15"/>
      <c r="AB21" s="15"/>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t="s">
        <v>23</v>
      </c>
      <c r="BN21" t="s">
        <v>33</v>
      </c>
      <c r="BO21" t="s">
        <v>34</v>
      </c>
      <c r="BQ21" t="str">
        <f>IF(Q323=1,TEXT(Q10,"mmm yy"),"")</f>
        <v/>
      </c>
      <c r="BS21">
        <f>IF(Dashboard!$Q$3&lt;13,0,MATCH(13,$E$386:$BL$386,0))</f>
        <v>0</v>
      </c>
      <c r="BT21" s="2" t="str">
        <f>IF(BS21=0,"",IF(OR(Dashboard!$Q$3&lt;=12,MOD(12,IF(Dashboard!$Q$3&lt;=24,2,IF(Dashboard!$Q$3&lt;=36,3,6)))=0,Dashboard!$Q$3=13),TEXT(INDEX($E$10:$BL$10,1,BS21),"mmm yy"),""))</f>
        <v/>
      </c>
      <c r="BU21" s="2" t="str">
        <f t="shared" si="0"/>
        <v/>
      </c>
      <c r="BV21" s="72">
        <f>IF(Dashboard!$Q$3=0,$E$10,INDEX($E$10:$BL$10,1,IF(BS21=0,Dashboard!$Q$2,BS21)))</f>
        <v>46296</v>
      </c>
      <c r="BW21" t="str">
        <f>IF(Dashboard!$Q$3=0,"",INDEX($E$326:$BL$326,1,IF(BS21=0,Dashboard!$Q$2,BS21)))</f>
        <v/>
      </c>
    </row>
    <row r="22" spans="2:75" ht="23" customHeight="1" x14ac:dyDescent="0.35">
      <c r="B22" s="11" t="s">
        <v>35</v>
      </c>
      <c r="C22" s="12" t="s">
        <v>28</v>
      </c>
      <c r="D22" s="13"/>
      <c r="E22" s="14"/>
      <c r="F22" s="14"/>
      <c r="G22" s="14"/>
      <c r="H22" s="14"/>
      <c r="I22" s="14"/>
      <c r="J22" s="14"/>
      <c r="K22" s="14"/>
      <c r="L22" s="14"/>
      <c r="M22" s="14"/>
      <c r="N22" s="14"/>
      <c r="O22" s="14"/>
      <c r="P22" s="14"/>
      <c r="Q22" s="15"/>
      <c r="R22" s="15"/>
      <c r="S22" s="15"/>
      <c r="T22" s="15"/>
      <c r="U22" s="15"/>
      <c r="V22" s="15"/>
      <c r="W22" s="15"/>
      <c r="X22" s="15"/>
      <c r="Y22" s="15"/>
      <c r="Z22" s="15"/>
      <c r="AA22" s="15"/>
      <c r="AB22" s="15"/>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t="s">
        <v>23</v>
      </c>
      <c r="BN22" t="s">
        <v>33</v>
      </c>
      <c r="BO22" t="s">
        <v>34</v>
      </c>
      <c r="BQ22" t="str">
        <f>IF(R323=1,TEXT(R10,"mmm yy"),"")</f>
        <v/>
      </c>
      <c r="BS22">
        <f>IF(Dashboard!$Q$3&lt;14,0,MATCH(14,$E$386:$BL$386,0))</f>
        <v>0</v>
      </c>
      <c r="BT22" s="2" t="str">
        <f>IF(BS22=0,"",IF(OR(Dashboard!$Q$3&lt;=12,MOD(13,IF(Dashboard!$Q$3&lt;=24,2,IF(Dashboard!$Q$3&lt;=36,3,6)))=0,Dashboard!$Q$3=14),TEXT(INDEX($E$10:$BL$10,1,BS22),"mmm yy"),""))</f>
        <v/>
      </c>
      <c r="BU22" s="2" t="str">
        <f t="shared" si="0"/>
        <v/>
      </c>
      <c r="BV22" s="72">
        <f>IF(Dashboard!$Q$3=0,$E$10,INDEX($E$10:$BL$10,1,IF(BS22=0,Dashboard!$Q$2,BS22)))</f>
        <v>46296</v>
      </c>
      <c r="BW22" t="str">
        <f>IF(Dashboard!$Q$3=0,"",INDEX($E$326:$BL$326,1,IF(BS22=0,Dashboard!$Q$2,BS22)))</f>
        <v/>
      </c>
    </row>
    <row r="23" spans="2:75" ht="23" customHeight="1" x14ac:dyDescent="0.35">
      <c r="B23" s="17" t="s">
        <v>36</v>
      </c>
      <c r="C23" s="18" t="s">
        <v>15</v>
      </c>
      <c r="D23" s="19"/>
      <c r="E23" s="14"/>
      <c r="F23" s="14"/>
      <c r="G23" s="14"/>
      <c r="H23" s="14"/>
      <c r="I23" s="14"/>
      <c r="J23" s="14"/>
      <c r="K23" s="14"/>
      <c r="L23" s="14"/>
      <c r="M23" s="14"/>
      <c r="N23" s="14"/>
      <c r="O23" s="14"/>
      <c r="P23" s="14"/>
      <c r="Q23" s="15"/>
      <c r="R23" s="15"/>
      <c r="S23" s="15"/>
      <c r="T23" s="15"/>
      <c r="U23" s="15"/>
      <c r="V23" s="15"/>
      <c r="W23" s="15"/>
      <c r="X23" s="15"/>
      <c r="Y23" s="15"/>
      <c r="Z23" s="15"/>
      <c r="AA23" s="15"/>
      <c r="AB23" s="15"/>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t="s">
        <v>23</v>
      </c>
      <c r="BN23" t="s">
        <v>33</v>
      </c>
      <c r="BO23" t="s">
        <v>34</v>
      </c>
      <c r="BQ23" t="str">
        <f>IF(S323=1,TEXT(S10,"mmm yy"),"")</f>
        <v/>
      </c>
      <c r="BS23">
        <f>IF(Dashboard!$Q$3&lt;15,0,MATCH(15,$E$386:$BL$386,0))</f>
        <v>0</v>
      </c>
      <c r="BT23" s="2" t="str">
        <f>IF(BS23=0,"",IF(OR(Dashboard!$Q$3&lt;=12,MOD(14,IF(Dashboard!$Q$3&lt;=24,2,IF(Dashboard!$Q$3&lt;=36,3,6)))=0,Dashboard!$Q$3=15),TEXT(INDEX($E$10:$BL$10,1,BS23),"mmm yy"),""))</f>
        <v/>
      </c>
      <c r="BU23" s="2" t="str">
        <f t="shared" si="0"/>
        <v/>
      </c>
      <c r="BV23" s="72">
        <f>IF(Dashboard!$Q$3=0,$E$10,INDEX($E$10:$BL$10,1,IF(BS23=0,Dashboard!$Q$2,BS23)))</f>
        <v>46296</v>
      </c>
      <c r="BW23" t="str">
        <f>IF(Dashboard!$Q$3=0,"",INDEX($E$326:$BL$326,1,IF(BS23=0,Dashboard!$Q$2,BS23)))</f>
        <v/>
      </c>
    </row>
    <row r="24" spans="2:75" ht="23" customHeight="1" x14ac:dyDescent="0.35">
      <c r="B24" s="11" t="s">
        <v>37</v>
      </c>
      <c r="C24" s="12" t="s">
        <v>28</v>
      </c>
      <c r="D24" s="13"/>
      <c r="E24" s="14"/>
      <c r="F24" s="14"/>
      <c r="G24" s="14"/>
      <c r="H24" s="14"/>
      <c r="I24" s="14"/>
      <c r="J24" s="14"/>
      <c r="K24" s="14"/>
      <c r="L24" s="14"/>
      <c r="M24" s="14"/>
      <c r="N24" s="14"/>
      <c r="O24" s="14"/>
      <c r="P24" s="14"/>
      <c r="Q24" s="15"/>
      <c r="R24" s="15"/>
      <c r="S24" s="15"/>
      <c r="T24" s="15"/>
      <c r="U24" s="15"/>
      <c r="V24" s="15"/>
      <c r="W24" s="15"/>
      <c r="X24" s="15"/>
      <c r="Y24" s="15"/>
      <c r="Z24" s="15"/>
      <c r="AA24" s="15"/>
      <c r="AB24" s="15"/>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t="s">
        <v>23</v>
      </c>
      <c r="BN24" t="s">
        <v>33</v>
      </c>
      <c r="BO24" t="s">
        <v>34</v>
      </c>
      <c r="BQ24" t="str">
        <f>IF(T323=1,TEXT(T10,"mmm yy"),"")</f>
        <v/>
      </c>
      <c r="BS24">
        <f>IF(Dashboard!$Q$3&lt;16,0,MATCH(16,$E$386:$BL$386,0))</f>
        <v>0</v>
      </c>
      <c r="BT24" s="2" t="str">
        <f>IF(BS24=0,"",IF(OR(Dashboard!$Q$3&lt;=12,MOD(15,IF(Dashboard!$Q$3&lt;=24,2,IF(Dashboard!$Q$3&lt;=36,3,6)))=0,Dashboard!$Q$3=16),TEXT(INDEX($E$10:$BL$10,1,BS24),"mmm yy"),""))</f>
        <v/>
      </c>
      <c r="BU24" s="2" t="str">
        <f t="shared" si="0"/>
        <v/>
      </c>
      <c r="BV24" s="72">
        <f>IF(Dashboard!$Q$3=0,$E$10,INDEX($E$10:$BL$10,1,IF(BS24=0,Dashboard!$Q$2,BS24)))</f>
        <v>46296</v>
      </c>
      <c r="BW24" t="str">
        <f>IF(Dashboard!$Q$3=0,"",INDEX($E$326:$BL$326,1,IF(BS24=0,Dashboard!$Q$2,BS24)))</f>
        <v/>
      </c>
    </row>
    <row r="25" spans="2:75" ht="8" customHeight="1" x14ac:dyDescent="0.35">
      <c r="B25" s="10"/>
      <c r="C25" s="9"/>
      <c r="D25" s="9"/>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Q25" t="str">
        <f>IF(U323=1,TEXT(U10,"mmm yy"),"")</f>
        <v/>
      </c>
      <c r="BS25">
        <f>IF(Dashboard!$Q$3&lt;17,0,MATCH(17,$E$386:$BL$386,0))</f>
        <v>0</v>
      </c>
      <c r="BT25" s="2" t="str">
        <f>IF(BS25=0,"",IF(OR(Dashboard!$Q$3&lt;=12,MOD(16,IF(Dashboard!$Q$3&lt;=24,2,IF(Dashboard!$Q$3&lt;=36,3,6)))=0,Dashboard!$Q$3=17),TEXT(INDEX($E$10:$BL$10,1,BS25),"mmm yy"),""))</f>
        <v/>
      </c>
      <c r="BU25" s="2" t="str">
        <f t="shared" si="0"/>
        <v/>
      </c>
      <c r="BV25" s="72">
        <f>IF(Dashboard!$Q$3=0,$E$10,INDEX($E$10:$BL$10,1,IF(BS25=0,Dashboard!$Q$2,BS25)))</f>
        <v>46296</v>
      </c>
      <c r="BW25" t="str">
        <f>IF(Dashboard!$Q$3=0,"",INDEX($E$326:$BL$326,1,IF(BS25=0,Dashboard!$Q$2,BS25)))</f>
        <v/>
      </c>
    </row>
    <row r="26" spans="2:75" ht="27" customHeight="1" x14ac:dyDescent="0.35">
      <c r="B26" s="96" t="s">
        <v>38</v>
      </c>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Q26" t="str">
        <f>IF(V323=1,TEXT(V10,"mmm yy"),"")</f>
        <v/>
      </c>
      <c r="BS26">
        <f>IF(Dashboard!$Q$3&lt;18,0,MATCH(18,$E$386:$BL$386,0))</f>
        <v>0</v>
      </c>
      <c r="BT26" s="2" t="str">
        <f>IF(BS26=0,"",IF(OR(Dashboard!$Q$3&lt;=12,MOD(17,IF(Dashboard!$Q$3&lt;=24,2,IF(Dashboard!$Q$3&lt;=36,3,6)))=0,Dashboard!$Q$3=18),TEXT(INDEX($E$10:$BL$10,1,BS26),"mmm yy"),""))</f>
        <v/>
      </c>
      <c r="BU26" s="2" t="str">
        <f t="shared" si="0"/>
        <v/>
      </c>
      <c r="BV26" s="72">
        <f>IF(Dashboard!$Q$3=0,$E$10,INDEX($E$10:$BL$10,1,IF(BS26=0,Dashboard!$Q$2,BS26)))</f>
        <v>46296</v>
      </c>
      <c r="BW26" t="str">
        <f>IF(Dashboard!$Q$3=0,"",INDEX($E$326:$BL$326,1,IF(BS26=0,Dashboard!$Q$2,BS26)))</f>
        <v/>
      </c>
    </row>
    <row r="27" spans="2:75" ht="23" customHeight="1" x14ac:dyDescent="0.35">
      <c r="B27" s="17" t="s">
        <v>39</v>
      </c>
      <c r="C27" s="18" t="s">
        <v>15</v>
      </c>
      <c r="D27" s="19"/>
      <c r="E27" s="14"/>
      <c r="F27" s="14"/>
      <c r="G27" s="14"/>
      <c r="H27" s="14"/>
      <c r="I27" s="14"/>
      <c r="J27" s="14"/>
      <c r="K27" s="14"/>
      <c r="L27" s="14"/>
      <c r="M27" s="14"/>
      <c r="N27" s="14"/>
      <c r="O27" s="14"/>
      <c r="P27" s="14"/>
      <c r="Q27" s="15"/>
      <c r="R27" s="15"/>
      <c r="S27" s="15"/>
      <c r="T27" s="15"/>
      <c r="U27" s="15"/>
      <c r="V27" s="15"/>
      <c r="W27" s="15"/>
      <c r="X27" s="15"/>
      <c r="Y27" s="15"/>
      <c r="Z27" s="15"/>
      <c r="AA27" s="15"/>
      <c r="AB27" s="15"/>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t="s">
        <v>23</v>
      </c>
      <c r="BN27" t="s">
        <v>40</v>
      </c>
      <c r="BO27" t="s">
        <v>25</v>
      </c>
      <c r="BQ27" t="str">
        <f>IF(W323=1,TEXT(W10,"mmm yy"),"")</f>
        <v/>
      </c>
      <c r="BS27">
        <f>IF(Dashboard!$Q$3&lt;19,0,MATCH(19,$E$386:$BL$386,0))</f>
        <v>0</v>
      </c>
      <c r="BT27" s="2" t="str">
        <f>IF(BS27=0,"",IF(OR(Dashboard!$Q$3&lt;=12,MOD(18,IF(Dashboard!$Q$3&lt;=24,2,IF(Dashboard!$Q$3&lt;=36,3,6)))=0,Dashboard!$Q$3=19),TEXT(INDEX($E$10:$BL$10,1,BS27),"mmm yy"),""))</f>
        <v/>
      </c>
      <c r="BU27" s="2" t="str">
        <f t="shared" si="0"/>
        <v/>
      </c>
      <c r="BV27" s="72">
        <f>IF(Dashboard!$Q$3=0,$E$10,INDEX($E$10:$BL$10,1,IF(BS27=0,Dashboard!$Q$2,BS27)))</f>
        <v>46296</v>
      </c>
      <c r="BW27" t="str">
        <f>IF(Dashboard!$Q$3=0,"",INDEX($E$326:$BL$326,1,IF(BS27=0,Dashboard!$Q$2,BS27)))</f>
        <v/>
      </c>
    </row>
    <row r="28" spans="2:75" ht="23" customHeight="1" x14ac:dyDescent="0.35">
      <c r="B28" s="11" t="s">
        <v>41</v>
      </c>
      <c r="C28" s="12" t="s">
        <v>28</v>
      </c>
      <c r="D28" s="13"/>
      <c r="E28" s="14"/>
      <c r="F28" s="14"/>
      <c r="G28" s="14"/>
      <c r="H28" s="14"/>
      <c r="I28" s="14"/>
      <c r="J28" s="14"/>
      <c r="K28" s="14"/>
      <c r="L28" s="14"/>
      <c r="M28" s="14"/>
      <c r="N28" s="14"/>
      <c r="O28" s="14"/>
      <c r="P28" s="14"/>
      <c r="Q28" s="15"/>
      <c r="R28" s="15"/>
      <c r="S28" s="15"/>
      <c r="T28" s="15"/>
      <c r="U28" s="15"/>
      <c r="V28" s="15"/>
      <c r="W28" s="15"/>
      <c r="X28" s="15"/>
      <c r="Y28" s="15"/>
      <c r="Z28" s="15"/>
      <c r="AA28" s="15"/>
      <c r="AB28" s="15"/>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t="s">
        <v>23</v>
      </c>
      <c r="BN28" t="s">
        <v>40</v>
      </c>
      <c r="BO28" t="s">
        <v>25</v>
      </c>
      <c r="BQ28" t="str">
        <f>IF(X323=1,TEXT(X10,"mmm yy"),"")</f>
        <v/>
      </c>
      <c r="BS28">
        <f>IF(Dashboard!$Q$3&lt;20,0,MATCH(20,$E$386:$BL$386,0))</f>
        <v>0</v>
      </c>
      <c r="BT28" s="2" t="str">
        <f>IF(BS28=0,"",IF(OR(Dashboard!$Q$3&lt;=12,MOD(19,IF(Dashboard!$Q$3&lt;=24,2,IF(Dashboard!$Q$3&lt;=36,3,6)))=0,Dashboard!$Q$3=20),TEXT(INDEX($E$10:$BL$10,1,BS28),"mmm yy"),""))</f>
        <v/>
      </c>
      <c r="BU28" s="2" t="str">
        <f t="shared" si="0"/>
        <v/>
      </c>
      <c r="BV28" s="72">
        <f>IF(Dashboard!$Q$3=0,$E$10,INDEX($E$10:$BL$10,1,IF(BS28=0,Dashboard!$Q$2,BS28)))</f>
        <v>46296</v>
      </c>
      <c r="BW28" t="str">
        <f>IF(Dashboard!$Q$3=0,"",INDEX($E$326:$BL$326,1,IF(BS28=0,Dashboard!$Q$2,BS28)))</f>
        <v/>
      </c>
    </row>
    <row r="29" spans="2:75" ht="23" customHeight="1" x14ac:dyDescent="0.35">
      <c r="B29" s="11" t="s">
        <v>42</v>
      </c>
      <c r="C29" s="12" t="s">
        <v>28</v>
      </c>
      <c r="D29" s="13"/>
      <c r="E29" s="14"/>
      <c r="F29" s="14"/>
      <c r="G29" s="14"/>
      <c r="H29" s="14"/>
      <c r="I29" s="14"/>
      <c r="J29" s="14"/>
      <c r="K29" s="14"/>
      <c r="L29" s="14"/>
      <c r="M29" s="14"/>
      <c r="N29" s="14"/>
      <c r="O29" s="14"/>
      <c r="P29" s="14"/>
      <c r="Q29" s="15"/>
      <c r="R29" s="15"/>
      <c r="S29" s="15"/>
      <c r="T29" s="15"/>
      <c r="U29" s="15"/>
      <c r="V29" s="15"/>
      <c r="W29" s="15"/>
      <c r="X29" s="15"/>
      <c r="Y29" s="15"/>
      <c r="Z29" s="15"/>
      <c r="AA29" s="15"/>
      <c r="AB29" s="15"/>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t="s">
        <v>23</v>
      </c>
      <c r="BN29" t="s">
        <v>43</v>
      </c>
      <c r="BO29" t="s">
        <v>34</v>
      </c>
      <c r="BQ29" t="str">
        <f>IF(Y323=1,TEXT(Y10,"mmm yy"),"")</f>
        <v/>
      </c>
      <c r="BS29">
        <f>IF(Dashboard!$Q$3&lt;21,0,MATCH(21,$E$386:$BL$386,0))</f>
        <v>0</v>
      </c>
      <c r="BT29" s="2" t="str">
        <f>IF(BS29=0,"",IF(OR(Dashboard!$Q$3&lt;=12,MOD(20,IF(Dashboard!$Q$3&lt;=24,2,IF(Dashboard!$Q$3&lt;=36,3,6)))=0,Dashboard!$Q$3=21),TEXT(INDEX($E$10:$BL$10,1,BS29),"mmm yy"),""))</f>
        <v/>
      </c>
      <c r="BU29" s="2" t="str">
        <f t="shared" si="0"/>
        <v/>
      </c>
      <c r="BV29" s="72">
        <f>IF(Dashboard!$Q$3=0,$E$10,INDEX($E$10:$BL$10,1,IF(BS29=0,Dashboard!$Q$2,BS29)))</f>
        <v>46296</v>
      </c>
      <c r="BW29" t="str">
        <f>IF(Dashboard!$Q$3=0,"",INDEX($E$326:$BL$326,1,IF(BS29=0,Dashboard!$Q$2,BS29)))</f>
        <v/>
      </c>
    </row>
    <row r="30" spans="2:75" ht="23" customHeight="1" x14ac:dyDescent="0.35">
      <c r="B30" s="17" t="s">
        <v>44</v>
      </c>
      <c r="C30" s="18" t="s">
        <v>28</v>
      </c>
      <c r="D30" s="19"/>
      <c r="E30" s="14"/>
      <c r="F30" s="14"/>
      <c r="G30" s="14"/>
      <c r="H30" s="14"/>
      <c r="I30" s="14"/>
      <c r="J30" s="14"/>
      <c r="K30" s="14"/>
      <c r="L30" s="14"/>
      <c r="M30" s="14"/>
      <c r="N30" s="14"/>
      <c r="O30" s="14"/>
      <c r="P30" s="14"/>
      <c r="Q30" s="15"/>
      <c r="R30" s="15"/>
      <c r="S30" s="15"/>
      <c r="T30" s="15"/>
      <c r="U30" s="15"/>
      <c r="V30" s="15"/>
      <c r="W30" s="15"/>
      <c r="X30" s="15"/>
      <c r="Y30" s="15"/>
      <c r="Z30" s="15"/>
      <c r="AA30" s="15"/>
      <c r="AB30" s="15"/>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t="s">
        <v>45</v>
      </c>
      <c r="BN30" t="s">
        <v>43</v>
      </c>
      <c r="BO30" t="s">
        <v>46</v>
      </c>
      <c r="BQ30" t="str">
        <f>IF(Z323=1,TEXT(Z10,"mmm yy"),"")</f>
        <v/>
      </c>
      <c r="BS30">
        <f>IF(Dashboard!$Q$3&lt;22,0,MATCH(22,$E$386:$BL$386,0))</f>
        <v>0</v>
      </c>
      <c r="BT30" s="2" t="str">
        <f>IF(BS30=0,"",IF(OR(Dashboard!$Q$3&lt;=12,MOD(21,IF(Dashboard!$Q$3&lt;=24,2,IF(Dashboard!$Q$3&lt;=36,3,6)))=0,Dashboard!$Q$3=22),TEXT(INDEX($E$10:$BL$10,1,BS30),"mmm yy"),""))</f>
        <v/>
      </c>
      <c r="BU30" s="2" t="str">
        <f t="shared" si="0"/>
        <v/>
      </c>
      <c r="BV30" s="72">
        <f>IF(Dashboard!$Q$3=0,$E$10,INDEX($E$10:$BL$10,1,IF(BS30=0,Dashboard!$Q$2,BS30)))</f>
        <v>46296</v>
      </c>
      <c r="BW30" t="str">
        <f>IF(Dashboard!$Q$3=0,"",INDEX($E$326:$BL$326,1,IF(BS30=0,Dashboard!$Q$2,BS30)))</f>
        <v/>
      </c>
    </row>
    <row r="31" spans="2:75" ht="8" customHeight="1" x14ac:dyDescent="0.35">
      <c r="B31" s="10"/>
      <c r="C31" s="9"/>
      <c r="D31" s="9"/>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Q31" t="str">
        <f>IF(AA323=1,TEXT(AA10,"mmm yy"),"")</f>
        <v/>
      </c>
      <c r="BS31">
        <f>IF(Dashboard!$Q$3&lt;23,0,MATCH(23,$E$386:$BL$386,0))</f>
        <v>0</v>
      </c>
      <c r="BT31" s="2" t="str">
        <f>IF(BS31=0,"",IF(OR(Dashboard!$Q$3&lt;=12,MOD(22,IF(Dashboard!$Q$3&lt;=24,2,IF(Dashboard!$Q$3&lt;=36,3,6)))=0,Dashboard!$Q$3=23),TEXT(INDEX($E$10:$BL$10,1,BS31),"mmm yy"),""))</f>
        <v/>
      </c>
      <c r="BU31" s="2" t="str">
        <f t="shared" si="0"/>
        <v/>
      </c>
      <c r="BV31" s="72">
        <f>IF(Dashboard!$Q$3=0,$E$10,INDEX($E$10:$BL$10,1,IF(BS31=0,Dashboard!$Q$2,BS31)))</f>
        <v>46296</v>
      </c>
      <c r="BW31" t="str">
        <f>IF(Dashboard!$Q$3=0,"",INDEX($E$326:$BL$326,1,IF(BS31=0,Dashboard!$Q$2,BS31)))</f>
        <v/>
      </c>
    </row>
    <row r="32" spans="2:75" ht="27" customHeight="1" x14ac:dyDescent="0.35">
      <c r="B32" s="96" t="s">
        <v>47</v>
      </c>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Q32" t="str">
        <f>IF(AB323=1,TEXT(AB10,"mmm yy"),"")</f>
        <v/>
      </c>
      <c r="BS32">
        <f>IF(Dashboard!$Q$3&lt;24,0,MATCH(24,$E$386:$BL$386,0))</f>
        <v>0</v>
      </c>
      <c r="BT32" s="2" t="str">
        <f>IF(BS32=0,"",IF(OR(Dashboard!$Q$3&lt;=12,MOD(23,IF(Dashboard!$Q$3&lt;=24,2,IF(Dashboard!$Q$3&lt;=36,3,6)))=0,Dashboard!$Q$3=24),TEXT(INDEX($E$10:$BL$10,1,BS32),"mmm yy"),""))</f>
        <v/>
      </c>
      <c r="BU32" s="2" t="str">
        <f t="shared" si="0"/>
        <v/>
      </c>
      <c r="BV32" s="72">
        <f>IF(Dashboard!$Q$3=0,$E$10,INDEX($E$10:$BL$10,1,IF(BS32=0,Dashboard!$Q$2,BS32)))</f>
        <v>46296</v>
      </c>
      <c r="BW32" t="str">
        <f>IF(Dashboard!$Q$3=0,"",INDEX($E$326:$BL$326,1,IF(BS32=0,Dashboard!$Q$2,BS32)))</f>
        <v/>
      </c>
    </row>
    <row r="33" spans="2:75" ht="23" customHeight="1" x14ac:dyDescent="0.35">
      <c r="B33" s="11" t="s">
        <v>48</v>
      </c>
      <c r="C33" s="12" t="s">
        <v>15</v>
      </c>
      <c r="D33" s="13"/>
      <c r="E33" s="14"/>
      <c r="F33" s="14"/>
      <c r="G33" s="14"/>
      <c r="H33" s="14"/>
      <c r="I33" s="14"/>
      <c r="J33" s="14"/>
      <c r="K33" s="14"/>
      <c r="L33" s="14"/>
      <c r="M33" s="14"/>
      <c r="N33" s="14"/>
      <c r="O33" s="14"/>
      <c r="P33" s="14"/>
      <c r="Q33" s="15"/>
      <c r="R33" s="15"/>
      <c r="S33" s="15"/>
      <c r="T33" s="15"/>
      <c r="U33" s="15"/>
      <c r="V33" s="15"/>
      <c r="W33" s="15"/>
      <c r="X33" s="15"/>
      <c r="Y33" s="15"/>
      <c r="Z33" s="15"/>
      <c r="AA33" s="15"/>
      <c r="AB33" s="15"/>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t="s">
        <v>23</v>
      </c>
      <c r="BN33" t="s">
        <v>49</v>
      </c>
      <c r="BO33" t="s">
        <v>50</v>
      </c>
      <c r="BQ33" s="2" t="str">
        <f>IF(AC323=1,TEXT(AC10,"mmm yy"),"")</f>
        <v/>
      </c>
      <c r="BS33">
        <f>IF(Dashboard!$Q$3&lt;25,0,MATCH(25,$E$386:$BL$386,0))</f>
        <v>0</v>
      </c>
      <c r="BT33" s="2" t="str">
        <f>IF(BS33=0,"",IF(OR(Dashboard!$Q$3&lt;=12,MOD(24,IF(Dashboard!$Q$3&lt;=24,2,IF(Dashboard!$Q$3&lt;=36,3,6)))=0,Dashboard!$Q$3=25),TEXT(INDEX($E$10:$BL$10,1,BS33),"mmm yy"),""))</f>
        <v/>
      </c>
      <c r="BU33" s="2" t="str">
        <f t="shared" si="0"/>
        <v/>
      </c>
      <c r="BV33" s="72">
        <f>IF(Dashboard!$Q$3=0,$E$10,INDEX($E$10:$BL$10,1,IF(BS33=0,Dashboard!$Q$2,BS33)))</f>
        <v>46296</v>
      </c>
      <c r="BW33" t="str">
        <f>IF(Dashboard!$Q$3=0,"",INDEX($E$326:$BL$326,1,IF(BS33=0,Dashboard!$Q$2,BS33)))</f>
        <v/>
      </c>
    </row>
    <row r="34" spans="2:75" ht="23" customHeight="1" x14ac:dyDescent="0.35">
      <c r="B34" s="17" t="s">
        <v>51</v>
      </c>
      <c r="C34" s="18" t="s">
        <v>15</v>
      </c>
      <c r="D34" s="19"/>
      <c r="E34" s="14"/>
      <c r="F34" s="14"/>
      <c r="G34" s="14"/>
      <c r="H34" s="14"/>
      <c r="I34" s="14"/>
      <c r="J34" s="14"/>
      <c r="K34" s="14"/>
      <c r="L34" s="14"/>
      <c r="M34" s="14"/>
      <c r="N34" s="14"/>
      <c r="O34" s="14"/>
      <c r="P34" s="14"/>
      <c r="Q34" s="15"/>
      <c r="R34" s="15"/>
      <c r="S34" s="15"/>
      <c r="T34" s="15"/>
      <c r="U34" s="15"/>
      <c r="V34" s="15"/>
      <c r="W34" s="15"/>
      <c r="X34" s="15"/>
      <c r="Y34" s="15"/>
      <c r="Z34" s="15"/>
      <c r="AA34" s="15"/>
      <c r="AB34" s="15"/>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t="s">
        <v>23</v>
      </c>
      <c r="BN34" t="s">
        <v>49</v>
      </c>
      <c r="BO34" t="s">
        <v>50</v>
      </c>
      <c r="BQ34" s="2" t="str">
        <f>IF(AD323=1,TEXT(AD10,"mmm yy"),"")</f>
        <v/>
      </c>
      <c r="BS34">
        <f>IF(Dashboard!$Q$3&lt;26,0,MATCH(26,$E$386:$BL$386,0))</f>
        <v>0</v>
      </c>
      <c r="BT34" s="2" t="str">
        <f>IF(BS34=0,"",IF(OR(Dashboard!$Q$3&lt;=12,MOD(25,IF(Dashboard!$Q$3&lt;=24,2,IF(Dashboard!$Q$3&lt;=36,3,6)))=0,Dashboard!$Q$3=26),TEXT(INDEX($E$10:$BL$10,1,BS34),"mmm yy"),""))</f>
        <v/>
      </c>
      <c r="BU34" s="2" t="str">
        <f t="shared" si="0"/>
        <v/>
      </c>
      <c r="BV34" s="72">
        <f>IF(Dashboard!$Q$3=0,$E$10,INDEX($E$10:$BL$10,1,IF(BS34=0,Dashboard!$Q$2,BS34)))</f>
        <v>46296</v>
      </c>
      <c r="BW34" t="str">
        <f>IF(Dashboard!$Q$3=0,"",INDEX($E$326:$BL$326,1,IF(BS34=0,Dashboard!$Q$2,BS34)))</f>
        <v/>
      </c>
    </row>
    <row r="35" spans="2:75" ht="23" customHeight="1" x14ac:dyDescent="0.35">
      <c r="B35" s="11" t="s">
        <v>52</v>
      </c>
      <c r="C35" s="12" t="s">
        <v>15</v>
      </c>
      <c r="D35" s="13"/>
      <c r="E35" s="14"/>
      <c r="F35" s="14"/>
      <c r="G35" s="14"/>
      <c r="H35" s="14"/>
      <c r="I35" s="14"/>
      <c r="J35" s="14"/>
      <c r="K35" s="14"/>
      <c r="L35" s="14"/>
      <c r="M35" s="14"/>
      <c r="N35" s="14"/>
      <c r="O35" s="14"/>
      <c r="P35" s="14"/>
      <c r="Q35" s="15"/>
      <c r="R35" s="15"/>
      <c r="S35" s="15"/>
      <c r="T35" s="15"/>
      <c r="U35" s="15"/>
      <c r="V35" s="15"/>
      <c r="W35" s="15"/>
      <c r="X35" s="15"/>
      <c r="Y35" s="15"/>
      <c r="Z35" s="15"/>
      <c r="AA35" s="15"/>
      <c r="AB35" s="15"/>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t="s">
        <v>23</v>
      </c>
      <c r="BN35" t="s">
        <v>49</v>
      </c>
      <c r="BO35" t="s">
        <v>50</v>
      </c>
      <c r="BQ35" s="2" t="str">
        <f>IF(AE323=1,TEXT(AE10,"mmm yy"),"")</f>
        <v/>
      </c>
      <c r="BS35">
        <f>IF(Dashboard!$Q$3&lt;27,0,MATCH(27,$E$386:$BL$386,0))</f>
        <v>0</v>
      </c>
      <c r="BT35" s="2" t="str">
        <f>IF(BS35=0,"",IF(OR(Dashboard!$Q$3&lt;=12,MOD(26,IF(Dashboard!$Q$3&lt;=24,2,IF(Dashboard!$Q$3&lt;=36,3,6)))=0,Dashboard!$Q$3=27),TEXT(INDEX($E$10:$BL$10,1,BS35),"mmm yy"),""))</f>
        <v/>
      </c>
      <c r="BU35" s="2" t="str">
        <f t="shared" si="0"/>
        <v/>
      </c>
      <c r="BV35" s="72">
        <f>IF(Dashboard!$Q$3=0,$E$10,INDEX($E$10:$BL$10,1,IF(BS35=0,Dashboard!$Q$2,BS35)))</f>
        <v>46296</v>
      </c>
      <c r="BW35" t="str">
        <f>IF(Dashboard!$Q$3=0,"",INDEX($E$326:$BL$326,1,IF(BS35=0,Dashboard!$Q$2,BS35)))</f>
        <v/>
      </c>
    </row>
    <row r="36" spans="2:75" ht="23" customHeight="1" x14ac:dyDescent="0.35">
      <c r="B36" s="11" t="s">
        <v>53</v>
      </c>
      <c r="C36" s="12" t="s">
        <v>15</v>
      </c>
      <c r="D36" s="13"/>
      <c r="E36" s="14"/>
      <c r="F36" s="14"/>
      <c r="G36" s="14"/>
      <c r="H36" s="14"/>
      <c r="I36" s="14"/>
      <c r="J36" s="14"/>
      <c r="K36" s="14"/>
      <c r="L36" s="14"/>
      <c r="M36" s="14"/>
      <c r="N36" s="14"/>
      <c r="O36" s="14"/>
      <c r="P36" s="14"/>
      <c r="Q36" s="15"/>
      <c r="R36" s="15"/>
      <c r="S36" s="15"/>
      <c r="T36" s="15"/>
      <c r="U36" s="15"/>
      <c r="V36" s="15"/>
      <c r="W36" s="15"/>
      <c r="X36" s="15"/>
      <c r="Y36" s="15"/>
      <c r="Z36" s="15"/>
      <c r="AA36" s="15"/>
      <c r="AB36" s="15"/>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t="s">
        <v>23</v>
      </c>
      <c r="BN36" t="s">
        <v>49</v>
      </c>
      <c r="BO36" t="s">
        <v>50</v>
      </c>
      <c r="BQ36" s="2" t="str">
        <f>IF(AF323=1,TEXT(AF10,"mmm yy"),"")</f>
        <v/>
      </c>
      <c r="BS36">
        <f>IF(Dashboard!$Q$3&lt;28,0,MATCH(28,$E$386:$BL$386,0))</f>
        <v>0</v>
      </c>
      <c r="BT36" s="2" t="str">
        <f>IF(BS36=0,"",IF(OR(Dashboard!$Q$3&lt;=12,MOD(27,IF(Dashboard!$Q$3&lt;=24,2,IF(Dashboard!$Q$3&lt;=36,3,6)))=0,Dashboard!$Q$3=28),TEXT(INDEX($E$10:$BL$10,1,BS36),"mmm yy"),""))</f>
        <v/>
      </c>
      <c r="BU36" s="2" t="str">
        <f t="shared" si="0"/>
        <v/>
      </c>
      <c r="BV36" s="72">
        <f>IF(Dashboard!$Q$3=0,$E$10,INDEX($E$10:$BL$10,1,IF(BS36=0,Dashboard!$Q$2,BS36)))</f>
        <v>46296</v>
      </c>
      <c r="BW36" t="str">
        <f>IF(Dashboard!$Q$3=0,"",INDEX($E$326:$BL$326,1,IF(BS36=0,Dashboard!$Q$2,BS36)))</f>
        <v/>
      </c>
    </row>
    <row r="37" spans="2:75" ht="8" customHeight="1" x14ac:dyDescent="0.35">
      <c r="B37" s="10"/>
      <c r="C37" s="9"/>
      <c r="D37" s="9"/>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Q37" s="2" t="str">
        <f>IF(AG323=1,TEXT(AG10,"mmm yy"),"")</f>
        <v/>
      </c>
      <c r="BS37">
        <f>IF(Dashboard!$Q$3&lt;29,0,MATCH(29,$E$386:$BL$386,0))</f>
        <v>0</v>
      </c>
      <c r="BT37" s="2" t="str">
        <f>IF(BS37=0,"",IF(OR(Dashboard!$Q$3&lt;=12,MOD(28,IF(Dashboard!$Q$3&lt;=24,2,IF(Dashboard!$Q$3&lt;=36,3,6)))=0,Dashboard!$Q$3=29),TEXT(INDEX($E$10:$BL$10,1,BS37),"mmm yy"),""))</f>
        <v/>
      </c>
      <c r="BU37" s="2" t="str">
        <f t="shared" si="0"/>
        <v/>
      </c>
      <c r="BV37" s="72">
        <f>IF(Dashboard!$Q$3=0,$E$10,INDEX($E$10:$BL$10,1,IF(BS37=0,Dashboard!$Q$2,BS37)))</f>
        <v>46296</v>
      </c>
      <c r="BW37" t="str">
        <f>IF(Dashboard!$Q$3=0,"",INDEX($E$326:$BL$326,1,IF(BS37=0,Dashboard!$Q$2,BS37)))</f>
        <v/>
      </c>
    </row>
    <row r="38" spans="2:75" ht="27" customHeight="1" x14ac:dyDescent="0.35">
      <c r="B38" s="96" t="s">
        <v>54</v>
      </c>
      <c r="C38" s="97"/>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Q38" s="2" t="str">
        <f>IF(AH323=1,TEXT(AH10,"mmm yy"),"")</f>
        <v/>
      </c>
      <c r="BS38">
        <f>IF(Dashboard!$Q$3&lt;30,0,MATCH(30,$E$386:$BL$386,0))</f>
        <v>0</v>
      </c>
      <c r="BT38" s="2" t="str">
        <f>IF(BS38=0,"",IF(OR(Dashboard!$Q$3&lt;=12,MOD(29,IF(Dashboard!$Q$3&lt;=24,2,IF(Dashboard!$Q$3&lt;=36,3,6)))=0,Dashboard!$Q$3=30),TEXT(INDEX($E$10:$BL$10,1,BS38),"mmm yy"),""))</f>
        <v/>
      </c>
      <c r="BU38" s="2" t="str">
        <f t="shared" si="0"/>
        <v/>
      </c>
      <c r="BV38" s="72">
        <f>IF(Dashboard!$Q$3=0,$E$10,INDEX($E$10:$BL$10,1,IF(BS38=0,Dashboard!$Q$2,BS38)))</f>
        <v>46296</v>
      </c>
      <c r="BW38" t="str">
        <f>IF(Dashboard!$Q$3=0,"",INDEX($E$326:$BL$326,1,IF(BS38=0,Dashboard!$Q$2,BS38)))</f>
        <v/>
      </c>
    </row>
    <row r="39" spans="2:75" ht="23" customHeight="1" x14ac:dyDescent="0.35">
      <c r="B39" s="17" t="s">
        <v>55</v>
      </c>
      <c r="C39" s="18" t="s">
        <v>15</v>
      </c>
      <c r="D39" s="19"/>
      <c r="E39" s="14"/>
      <c r="F39" s="14"/>
      <c r="G39" s="14"/>
      <c r="H39" s="14"/>
      <c r="I39" s="14"/>
      <c r="J39" s="14"/>
      <c r="K39" s="14"/>
      <c r="L39" s="14"/>
      <c r="M39" s="14"/>
      <c r="N39" s="14"/>
      <c r="O39" s="14"/>
      <c r="P39" s="14"/>
      <c r="Q39" s="15"/>
      <c r="R39" s="15"/>
      <c r="S39" s="15"/>
      <c r="T39" s="15"/>
      <c r="U39" s="15"/>
      <c r="V39" s="15"/>
      <c r="W39" s="15"/>
      <c r="X39" s="15"/>
      <c r="Y39" s="15"/>
      <c r="Z39" s="15"/>
      <c r="AA39" s="15"/>
      <c r="AB39" s="15"/>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t="s">
        <v>23</v>
      </c>
      <c r="BN39" t="s">
        <v>56</v>
      </c>
      <c r="BO39" t="s">
        <v>34</v>
      </c>
      <c r="BQ39" s="2" t="str">
        <f>IF(AI323=1,TEXT(AI10,"mmm yy"),"")</f>
        <v/>
      </c>
      <c r="BS39">
        <f>IF(Dashboard!$Q$3&lt;31,0,MATCH(31,$E$386:$BL$386,0))</f>
        <v>0</v>
      </c>
      <c r="BT39" s="2" t="str">
        <f>IF(BS39=0,"",IF(OR(Dashboard!$Q$3&lt;=12,MOD(30,IF(Dashboard!$Q$3&lt;=24,2,IF(Dashboard!$Q$3&lt;=36,3,6)))=0,Dashboard!$Q$3=31),TEXT(INDEX($E$10:$BL$10,1,BS39),"mmm yy"),""))</f>
        <v/>
      </c>
      <c r="BU39" s="2" t="str">
        <f t="shared" si="0"/>
        <v/>
      </c>
      <c r="BV39" s="72">
        <f>IF(Dashboard!$Q$3=0,$E$10,INDEX($E$10:$BL$10,1,IF(BS39=0,Dashboard!$Q$2,BS39)))</f>
        <v>46296</v>
      </c>
      <c r="BW39" t="str">
        <f>IF(Dashboard!$Q$3=0,"",INDEX($E$326:$BL$326,1,IF(BS39=0,Dashboard!$Q$2,BS39)))</f>
        <v/>
      </c>
    </row>
    <row r="40" spans="2:75" ht="23" customHeight="1" x14ac:dyDescent="0.35">
      <c r="B40" s="11" t="s">
        <v>57</v>
      </c>
      <c r="C40" s="12" t="s">
        <v>15</v>
      </c>
      <c r="D40" s="13"/>
      <c r="E40" s="14"/>
      <c r="F40" s="14"/>
      <c r="G40" s="14"/>
      <c r="H40" s="14"/>
      <c r="I40" s="14"/>
      <c r="J40" s="14"/>
      <c r="K40" s="14"/>
      <c r="L40" s="14"/>
      <c r="M40" s="14"/>
      <c r="N40" s="14"/>
      <c r="O40" s="14"/>
      <c r="P40" s="14"/>
      <c r="Q40" s="15"/>
      <c r="R40" s="15"/>
      <c r="S40" s="15"/>
      <c r="T40" s="15"/>
      <c r="U40" s="15"/>
      <c r="V40" s="15"/>
      <c r="W40" s="15"/>
      <c r="X40" s="15"/>
      <c r="Y40" s="15"/>
      <c r="Z40" s="15"/>
      <c r="AA40" s="15"/>
      <c r="AB40" s="15"/>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t="s">
        <v>23</v>
      </c>
      <c r="BN40" t="s">
        <v>56</v>
      </c>
      <c r="BO40" t="s">
        <v>34</v>
      </c>
      <c r="BQ40" s="2" t="str">
        <f>IF(AJ323=1,TEXT(AJ10,"mmm yy"),"")</f>
        <v/>
      </c>
      <c r="BS40">
        <f>IF(Dashboard!$Q$3&lt;32,0,MATCH(32,$E$386:$BL$386,0))</f>
        <v>0</v>
      </c>
      <c r="BT40" s="2" t="str">
        <f>IF(BS40=0,"",IF(OR(Dashboard!$Q$3&lt;=12,MOD(31,IF(Dashboard!$Q$3&lt;=24,2,IF(Dashboard!$Q$3&lt;=36,3,6)))=0,Dashboard!$Q$3=32),TEXT(INDEX($E$10:$BL$10,1,BS40),"mmm yy"),""))</f>
        <v/>
      </c>
      <c r="BU40" s="2" t="str">
        <f t="shared" si="0"/>
        <v/>
      </c>
      <c r="BV40" s="72">
        <f>IF(Dashboard!$Q$3=0,$E$10,INDEX($E$10:$BL$10,1,IF(BS40=0,Dashboard!$Q$2,BS40)))</f>
        <v>46296</v>
      </c>
      <c r="BW40" t="str">
        <f>IF(Dashboard!$Q$3=0,"",INDEX($E$326:$BL$326,1,IF(BS40=0,Dashboard!$Q$2,BS40)))</f>
        <v/>
      </c>
    </row>
    <row r="41" spans="2:75" ht="8" customHeight="1" x14ac:dyDescent="0.35">
      <c r="B41" s="10"/>
      <c r="C41" s="9"/>
      <c r="D41" s="9"/>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Q41" s="2" t="str">
        <f>IF(AK323=1,TEXT(AK10,"mmm yy"),"")</f>
        <v/>
      </c>
      <c r="BS41">
        <f>IF(Dashboard!$Q$3&lt;33,0,MATCH(33,$E$386:$BL$386,0))</f>
        <v>0</v>
      </c>
      <c r="BT41" s="2" t="str">
        <f>IF(BS41=0,"",IF(OR(Dashboard!$Q$3&lt;=12,MOD(32,IF(Dashboard!$Q$3&lt;=24,2,IF(Dashboard!$Q$3&lt;=36,3,6)))=0,Dashboard!$Q$3=33),TEXT(INDEX($E$10:$BL$10,1,BS41),"mmm yy"),""))</f>
        <v/>
      </c>
      <c r="BU41" s="2" t="str">
        <f t="shared" ref="BU41:BU68" si="3">IF(BS41=0,"",INDEX($E$326:$BL$326,1,BS41))</f>
        <v/>
      </c>
      <c r="BV41" s="72">
        <f>IF(Dashboard!$Q$3=0,$E$10,INDEX($E$10:$BL$10,1,IF(BS41=0,Dashboard!$Q$2,BS41)))</f>
        <v>46296</v>
      </c>
      <c r="BW41" t="str">
        <f>IF(Dashboard!$Q$3=0,"",INDEX($E$326:$BL$326,1,IF(BS41=0,Dashboard!$Q$2,BS41)))</f>
        <v/>
      </c>
    </row>
    <row r="42" spans="2:75" ht="27" customHeight="1" x14ac:dyDescent="0.35">
      <c r="B42" s="96" t="s">
        <v>58</v>
      </c>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Q42" s="2" t="str">
        <f>IF(AL323=1,TEXT(AL10,"mmm yy"),"")</f>
        <v/>
      </c>
      <c r="BS42">
        <f>IF(Dashboard!$Q$3&lt;34,0,MATCH(34,$E$386:$BL$386,0))</f>
        <v>0</v>
      </c>
      <c r="BT42" s="2" t="str">
        <f>IF(BS42=0,"",IF(OR(Dashboard!$Q$3&lt;=12,MOD(33,IF(Dashboard!$Q$3&lt;=24,2,IF(Dashboard!$Q$3&lt;=36,3,6)))=0,Dashboard!$Q$3=34),TEXT(INDEX($E$10:$BL$10,1,BS42),"mmm yy"),""))</f>
        <v/>
      </c>
      <c r="BU42" s="2" t="str">
        <f t="shared" si="3"/>
        <v/>
      </c>
      <c r="BV42" s="72">
        <f>IF(Dashboard!$Q$3=0,$E$10,INDEX($E$10:$BL$10,1,IF(BS42=0,Dashboard!$Q$2,BS42)))</f>
        <v>46296</v>
      </c>
      <c r="BW42" t="str">
        <f>IF(Dashboard!$Q$3=0,"",INDEX($E$326:$BL$326,1,IF(BS42=0,Dashboard!$Q$2,BS42)))</f>
        <v/>
      </c>
    </row>
    <row r="43" spans="2:75" ht="23" customHeight="1" x14ac:dyDescent="0.35">
      <c r="B43" s="11" t="s">
        <v>59</v>
      </c>
      <c r="C43" s="12" t="s">
        <v>15</v>
      </c>
      <c r="D43" s="70"/>
      <c r="E43" s="14"/>
      <c r="F43" s="14"/>
      <c r="G43" s="14"/>
      <c r="H43" s="14"/>
      <c r="I43" s="14"/>
      <c r="J43" s="14"/>
      <c r="K43" s="14"/>
      <c r="L43" s="14"/>
      <c r="M43" s="14"/>
      <c r="N43" s="14"/>
      <c r="O43" s="14"/>
      <c r="P43" s="14"/>
      <c r="Q43" s="15"/>
      <c r="R43" s="15"/>
      <c r="S43" s="15"/>
      <c r="T43" s="15"/>
      <c r="U43" s="15"/>
      <c r="V43" s="15"/>
      <c r="W43" s="15"/>
      <c r="X43" s="15"/>
      <c r="Y43" s="15"/>
      <c r="Z43" s="15"/>
      <c r="AA43" s="15"/>
      <c r="AB43" s="15"/>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t="s">
        <v>60</v>
      </c>
      <c r="BN43" t="s">
        <v>60</v>
      </c>
      <c r="BO43" t="s">
        <v>46</v>
      </c>
      <c r="BP43" t="s">
        <v>61</v>
      </c>
      <c r="BQ43" s="2" t="str">
        <f>IF(AM323=1,TEXT(AM10,"mmm yy"),"")</f>
        <v/>
      </c>
      <c r="BS43">
        <f>IF(Dashboard!$Q$3&lt;35,0,MATCH(35,$E$386:$BL$386,0))</f>
        <v>0</v>
      </c>
      <c r="BT43" s="2" t="str">
        <f>IF(BS43=0,"",IF(OR(Dashboard!$Q$3&lt;=12,MOD(34,IF(Dashboard!$Q$3&lt;=24,2,IF(Dashboard!$Q$3&lt;=36,3,6)))=0,Dashboard!$Q$3=35),TEXT(INDEX($E$10:$BL$10,1,BS43),"mmm yy"),""))</f>
        <v/>
      </c>
      <c r="BU43" s="2" t="str">
        <f t="shared" si="3"/>
        <v/>
      </c>
      <c r="BV43" s="72">
        <f>IF(Dashboard!$Q$3=0,$E$10,INDEX($E$10:$BL$10,1,IF(BS43=0,Dashboard!$Q$2,BS43)))</f>
        <v>46296</v>
      </c>
      <c r="BW43" t="str">
        <f>IF(Dashboard!$Q$3=0,"",INDEX($E$326:$BL$326,1,IF(BS43=0,Dashboard!$Q$2,BS43)))</f>
        <v/>
      </c>
    </row>
    <row r="44" spans="2:75" ht="23" customHeight="1" x14ac:dyDescent="0.35">
      <c r="B44" s="17" t="s">
        <v>62</v>
      </c>
      <c r="C44" s="18" t="s">
        <v>15</v>
      </c>
      <c r="D44" s="70"/>
      <c r="E44" s="14"/>
      <c r="F44" s="14"/>
      <c r="G44" s="14"/>
      <c r="H44" s="14"/>
      <c r="I44" s="14"/>
      <c r="J44" s="14"/>
      <c r="K44" s="14"/>
      <c r="L44" s="14"/>
      <c r="M44" s="14"/>
      <c r="N44" s="14"/>
      <c r="O44" s="14"/>
      <c r="P44" s="14"/>
      <c r="Q44" s="15"/>
      <c r="R44" s="15"/>
      <c r="S44" s="15"/>
      <c r="T44" s="15"/>
      <c r="U44" s="15"/>
      <c r="V44" s="15"/>
      <c r="W44" s="15"/>
      <c r="X44" s="15"/>
      <c r="Y44" s="15"/>
      <c r="Z44" s="15"/>
      <c r="AA44" s="15"/>
      <c r="AB44" s="15"/>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t="s">
        <v>60</v>
      </c>
      <c r="BN44" t="s">
        <v>60</v>
      </c>
      <c r="BO44" t="s">
        <v>46</v>
      </c>
      <c r="BP44" t="s">
        <v>61</v>
      </c>
      <c r="BQ44" s="2" t="str">
        <f>IF(AN323=1,TEXT(AN10,"mmm yy"),"")</f>
        <v/>
      </c>
      <c r="BS44">
        <f>IF(Dashboard!$Q$3&lt;36,0,MATCH(36,$E$386:$BL$386,0))</f>
        <v>0</v>
      </c>
      <c r="BT44" s="2" t="str">
        <f>IF(BS44=0,"",IF(OR(Dashboard!$Q$3&lt;=12,MOD(35,IF(Dashboard!$Q$3&lt;=24,2,IF(Dashboard!$Q$3&lt;=36,3,6)))=0,Dashboard!$Q$3=36),TEXT(INDEX($E$10:$BL$10,1,BS44),"mmm yy"),""))</f>
        <v/>
      </c>
      <c r="BU44" s="2" t="str">
        <f t="shared" si="3"/>
        <v/>
      </c>
      <c r="BV44" s="72">
        <f>IF(Dashboard!$Q$3=0,$E$10,INDEX($E$10:$BL$10,1,IF(BS44=0,Dashboard!$Q$2,BS44)))</f>
        <v>46296</v>
      </c>
      <c r="BW44" t="str">
        <f>IF(Dashboard!$Q$3=0,"",INDEX($E$326:$BL$326,1,IF(BS44=0,Dashboard!$Q$2,BS44)))</f>
        <v/>
      </c>
    </row>
    <row r="45" spans="2:75" ht="23" customHeight="1" x14ac:dyDescent="0.35">
      <c r="B45" s="11" t="s">
        <v>63</v>
      </c>
      <c r="C45" s="12" t="s">
        <v>15</v>
      </c>
      <c r="D45" s="70"/>
      <c r="E45" s="14"/>
      <c r="F45" s="14"/>
      <c r="G45" s="14"/>
      <c r="H45" s="14"/>
      <c r="I45" s="14"/>
      <c r="J45" s="14"/>
      <c r="K45" s="14"/>
      <c r="L45" s="14"/>
      <c r="M45" s="14"/>
      <c r="N45" s="14"/>
      <c r="O45" s="14"/>
      <c r="P45" s="14"/>
      <c r="Q45" s="15"/>
      <c r="R45" s="15"/>
      <c r="S45" s="15"/>
      <c r="T45" s="15"/>
      <c r="U45" s="15"/>
      <c r="V45" s="15"/>
      <c r="W45" s="15"/>
      <c r="X45" s="15"/>
      <c r="Y45" s="15"/>
      <c r="Z45" s="15"/>
      <c r="AA45" s="15"/>
      <c r="AB45" s="15"/>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t="s">
        <v>60</v>
      </c>
      <c r="BN45" t="s">
        <v>60</v>
      </c>
      <c r="BO45" t="s">
        <v>46</v>
      </c>
      <c r="BP45" t="s">
        <v>61</v>
      </c>
      <c r="BS45">
        <f>IF(Dashboard!$Q$3&lt;37,0,MATCH(37,$E$386:$BL$386,0))</f>
        <v>0</v>
      </c>
      <c r="BT45" s="2" t="str">
        <f>IF(BS45=0,"",IF(OR(Dashboard!$Q$3&lt;=12,MOD(36,IF(Dashboard!$Q$3&lt;=24,2,IF(Dashboard!$Q$3&lt;=36,3,6)))=0,Dashboard!$Q$3=37),TEXT(INDEX($E$10:$BL$10,1,BS45),"mmm yy"),""))</f>
        <v/>
      </c>
      <c r="BU45" s="2" t="str">
        <f t="shared" si="3"/>
        <v/>
      </c>
      <c r="BV45" s="72">
        <f>IF(Dashboard!$Q$3=0,$E$10,INDEX($E$10:$BL$10,1,IF(BS45=0,Dashboard!$Q$2,BS45)))</f>
        <v>46296</v>
      </c>
      <c r="BW45" t="str">
        <f>IF(Dashboard!$Q$3=0,"",INDEX($E$326:$BL$326,1,IF(BS45=0,Dashboard!$Q$2,BS45)))</f>
        <v/>
      </c>
    </row>
    <row r="46" spans="2:75" ht="23" customHeight="1" x14ac:dyDescent="0.35">
      <c r="B46" s="17" t="s">
        <v>64</v>
      </c>
      <c r="C46" s="18" t="s">
        <v>15</v>
      </c>
      <c r="D46" s="70"/>
      <c r="E46" s="14"/>
      <c r="F46" s="14"/>
      <c r="G46" s="14"/>
      <c r="H46" s="14"/>
      <c r="I46" s="14"/>
      <c r="J46" s="14"/>
      <c r="K46" s="14"/>
      <c r="L46" s="14"/>
      <c r="M46" s="14"/>
      <c r="N46" s="14"/>
      <c r="O46" s="14"/>
      <c r="P46" s="14"/>
      <c r="Q46" s="15"/>
      <c r="R46" s="15"/>
      <c r="S46" s="15"/>
      <c r="T46" s="15"/>
      <c r="U46" s="15"/>
      <c r="V46" s="15"/>
      <c r="W46" s="15"/>
      <c r="X46" s="15"/>
      <c r="Y46" s="15"/>
      <c r="Z46" s="15"/>
      <c r="AA46" s="15"/>
      <c r="AB46" s="15"/>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t="s">
        <v>60</v>
      </c>
      <c r="BN46" t="s">
        <v>60</v>
      </c>
      <c r="BO46" t="s">
        <v>46</v>
      </c>
      <c r="BP46" t="s">
        <v>65</v>
      </c>
      <c r="BS46">
        <f>IF(Dashboard!$Q$3&lt;38,0,MATCH(38,$E$386:$BL$386,0))</f>
        <v>0</v>
      </c>
      <c r="BT46" s="2" t="str">
        <f>IF(BS46=0,"",IF(OR(Dashboard!$Q$3&lt;=12,MOD(37,IF(Dashboard!$Q$3&lt;=24,2,IF(Dashboard!$Q$3&lt;=36,3,6)))=0,Dashboard!$Q$3=38),TEXT(INDEX($E$10:$BL$10,1,BS46),"mmm yy"),""))</f>
        <v/>
      </c>
      <c r="BU46" s="2" t="str">
        <f t="shared" si="3"/>
        <v/>
      </c>
      <c r="BV46" s="72">
        <f>IF(Dashboard!$Q$3=0,$E$10,INDEX($E$10:$BL$10,1,IF(BS46=0,Dashboard!$Q$2,BS46)))</f>
        <v>46296</v>
      </c>
      <c r="BW46" t="str">
        <f>IF(Dashboard!$Q$3=0,"",INDEX($E$326:$BL$326,1,IF(BS46=0,Dashboard!$Q$2,BS46)))</f>
        <v/>
      </c>
    </row>
    <row r="47" spans="2:75" ht="23" customHeight="1" x14ac:dyDescent="0.35">
      <c r="B47" s="11" t="s">
        <v>66</v>
      </c>
      <c r="C47" s="12" t="s">
        <v>15</v>
      </c>
      <c r="D47" s="70"/>
      <c r="E47" s="14"/>
      <c r="F47" s="14"/>
      <c r="G47" s="14"/>
      <c r="H47" s="14"/>
      <c r="I47" s="14"/>
      <c r="J47" s="14"/>
      <c r="K47" s="14"/>
      <c r="L47" s="14"/>
      <c r="M47" s="14"/>
      <c r="N47" s="14"/>
      <c r="O47" s="14"/>
      <c r="P47" s="14"/>
      <c r="Q47" s="15"/>
      <c r="R47" s="15"/>
      <c r="S47" s="15"/>
      <c r="T47" s="15"/>
      <c r="U47" s="15"/>
      <c r="V47" s="15"/>
      <c r="W47" s="15"/>
      <c r="X47" s="15"/>
      <c r="Y47" s="15"/>
      <c r="Z47" s="15"/>
      <c r="AA47" s="15"/>
      <c r="AB47" s="15"/>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t="s">
        <v>60</v>
      </c>
      <c r="BN47" t="s">
        <v>60</v>
      </c>
      <c r="BO47" t="s">
        <v>46</v>
      </c>
      <c r="BP47" t="s">
        <v>67</v>
      </c>
      <c r="BQ47" t="s">
        <v>68</v>
      </c>
      <c r="BR47" t="str">
        <f>IF(Dashboard!$Q$2=0,"",INDEX($E$334:$BL$334,1,Dashboard!$Q$2)+INDEX($E$335:$BL$335,1,Dashboard!$Q$2))</f>
        <v/>
      </c>
      <c r="BS47">
        <f>IF(Dashboard!$Q$3&lt;39,0,MATCH(39,$E$386:$BL$386,0))</f>
        <v>0</v>
      </c>
      <c r="BT47" s="2" t="str">
        <f>IF(BS47=0,"",IF(OR(Dashboard!$Q$3&lt;=12,MOD(38,IF(Dashboard!$Q$3&lt;=24,2,IF(Dashboard!$Q$3&lt;=36,3,6)))=0,Dashboard!$Q$3=39),TEXT(INDEX($E$10:$BL$10,1,BS47),"mmm yy"),""))</f>
        <v/>
      </c>
      <c r="BU47" s="2" t="str">
        <f t="shared" si="3"/>
        <v/>
      </c>
      <c r="BV47" s="72">
        <f>IF(Dashboard!$Q$3=0,$E$10,INDEX($E$10:$BL$10,1,IF(BS47=0,Dashboard!$Q$2,BS47)))</f>
        <v>46296</v>
      </c>
      <c r="BW47" t="str">
        <f>IF(Dashboard!$Q$3=0,"",INDEX($E$326:$BL$326,1,IF(BS47=0,Dashboard!$Q$2,BS47)))</f>
        <v/>
      </c>
    </row>
    <row r="48" spans="2:75" ht="23" customHeight="1" x14ac:dyDescent="0.35">
      <c r="B48" s="17" t="s">
        <v>69</v>
      </c>
      <c r="C48" s="18" t="s">
        <v>15</v>
      </c>
      <c r="D48" s="70"/>
      <c r="E48" s="14"/>
      <c r="F48" s="14"/>
      <c r="G48" s="14"/>
      <c r="H48" s="14"/>
      <c r="I48" s="14"/>
      <c r="J48" s="14"/>
      <c r="K48" s="14"/>
      <c r="L48" s="14"/>
      <c r="M48" s="14"/>
      <c r="N48" s="14"/>
      <c r="O48" s="14"/>
      <c r="P48" s="14"/>
      <c r="Q48" s="15"/>
      <c r="R48" s="15"/>
      <c r="S48" s="15"/>
      <c r="T48" s="15"/>
      <c r="U48" s="15"/>
      <c r="V48" s="15"/>
      <c r="W48" s="15"/>
      <c r="X48" s="15"/>
      <c r="Y48" s="15"/>
      <c r="Z48" s="15"/>
      <c r="AA48" s="15"/>
      <c r="AB48" s="15"/>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t="s">
        <v>60</v>
      </c>
      <c r="BN48" t="s">
        <v>60</v>
      </c>
      <c r="BO48" t="s">
        <v>46</v>
      </c>
      <c r="BP48" t="s">
        <v>70</v>
      </c>
      <c r="BQ48" t="s">
        <v>71</v>
      </c>
      <c r="BR48" t="str">
        <f>IF(Dashboard!$Q$2=0,"",INDEX($E$336:$BL$336,1,Dashboard!$Q$2)+INDEX($E$338:$BL$338,1,Dashboard!$Q$2))</f>
        <v/>
      </c>
      <c r="BS48">
        <f>IF(Dashboard!$Q$3&lt;40,0,MATCH(40,$E$386:$BL$386,0))</f>
        <v>0</v>
      </c>
      <c r="BT48" s="2" t="str">
        <f>IF(BS48=0,"",IF(OR(Dashboard!$Q$3&lt;=12,MOD(39,IF(Dashboard!$Q$3&lt;=24,2,IF(Dashboard!$Q$3&lt;=36,3,6)))=0,Dashboard!$Q$3=40),TEXT(INDEX($E$10:$BL$10,1,BS48),"mmm yy"),""))</f>
        <v/>
      </c>
      <c r="BU48" s="2" t="str">
        <f t="shared" si="3"/>
        <v/>
      </c>
      <c r="BV48" s="72">
        <f>IF(Dashboard!$Q$3=0,$E$10,INDEX($E$10:$BL$10,1,IF(BS48=0,Dashboard!$Q$2,BS48)))</f>
        <v>46296</v>
      </c>
      <c r="BW48" t="str">
        <f>IF(Dashboard!$Q$3=0,"",INDEX($E$326:$BL$326,1,IF(BS48=0,Dashboard!$Q$2,BS48)))</f>
        <v/>
      </c>
    </row>
    <row r="49" spans="2:75" ht="23" customHeight="1" x14ac:dyDescent="0.35">
      <c r="B49" s="11" t="s">
        <v>72</v>
      </c>
      <c r="C49" s="12" t="s">
        <v>15</v>
      </c>
      <c r="D49" s="70"/>
      <c r="E49" s="14"/>
      <c r="F49" s="14"/>
      <c r="G49" s="14"/>
      <c r="H49" s="14"/>
      <c r="I49" s="14"/>
      <c r="J49" s="14"/>
      <c r="K49" s="14"/>
      <c r="L49" s="14"/>
      <c r="M49" s="14"/>
      <c r="N49" s="14"/>
      <c r="O49" s="14"/>
      <c r="P49" s="14"/>
      <c r="Q49" s="15"/>
      <c r="R49" s="15"/>
      <c r="S49" s="15"/>
      <c r="T49" s="15"/>
      <c r="U49" s="15"/>
      <c r="V49" s="15"/>
      <c r="W49" s="15"/>
      <c r="X49" s="15"/>
      <c r="Y49" s="15"/>
      <c r="Z49" s="15"/>
      <c r="AA49" s="15"/>
      <c r="AB49" s="15"/>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t="s">
        <v>60</v>
      </c>
      <c r="BN49" t="s">
        <v>60</v>
      </c>
      <c r="BO49" t="s">
        <v>46</v>
      </c>
      <c r="BP49" t="s">
        <v>73</v>
      </c>
      <c r="BQ49" t="s">
        <v>74</v>
      </c>
      <c r="BR49" t="str">
        <f>IF(Dashboard!$Q$2=0,"",INDEX($E$337:$BL$337,1,Dashboard!$Q$2)+INDEX($E$339:$BL$339,1,Dashboard!$Q$2))</f>
        <v/>
      </c>
      <c r="BS49">
        <f>IF(Dashboard!$Q$3&lt;41,0,MATCH(41,$E$386:$BL$386,0))</f>
        <v>0</v>
      </c>
      <c r="BT49" s="2" t="str">
        <f>IF(BS49=0,"",IF(OR(Dashboard!$Q$3&lt;=12,MOD(40,IF(Dashboard!$Q$3&lt;=24,2,IF(Dashboard!$Q$3&lt;=36,3,6)))=0,Dashboard!$Q$3=41),TEXT(INDEX($E$10:$BL$10,1,BS49),"mmm yy"),""))</f>
        <v/>
      </c>
      <c r="BU49" s="2" t="str">
        <f t="shared" si="3"/>
        <v/>
      </c>
      <c r="BV49" s="72">
        <f>IF(Dashboard!$Q$3=0,$E$10,INDEX($E$10:$BL$10,1,IF(BS49=0,Dashboard!$Q$2,BS49)))</f>
        <v>46296</v>
      </c>
      <c r="BW49" t="str">
        <f>IF(Dashboard!$Q$3=0,"",INDEX($E$326:$BL$326,1,IF(BS49=0,Dashboard!$Q$2,BS49)))</f>
        <v/>
      </c>
    </row>
    <row r="50" spans="2:75" ht="23" customHeight="1" x14ac:dyDescent="0.35">
      <c r="B50" s="17" t="s">
        <v>75</v>
      </c>
      <c r="C50" s="18" t="s">
        <v>28</v>
      </c>
      <c r="D50" s="70"/>
      <c r="E50" s="14"/>
      <c r="F50" s="14"/>
      <c r="G50" s="14"/>
      <c r="H50" s="14"/>
      <c r="I50" s="14"/>
      <c r="J50" s="14"/>
      <c r="K50" s="14"/>
      <c r="L50" s="14"/>
      <c r="M50" s="14"/>
      <c r="N50" s="14"/>
      <c r="O50" s="14"/>
      <c r="P50" s="14"/>
      <c r="Q50" s="15"/>
      <c r="R50" s="15"/>
      <c r="S50" s="15"/>
      <c r="T50" s="15"/>
      <c r="U50" s="15"/>
      <c r="V50" s="15"/>
      <c r="W50" s="15"/>
      <c r="X50" s="15"/>
      <c r="Y50" s="15"/>
      <c r="Z50" s="15"/>
      <c r="AA50" s="15"/>
      <c r="AB50" s="15"/>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t="s">
        <v>60</v>
      </c>
      <c r="BN50" t="s">
        <v>60</v>
      </c>
      <c r="BO50" t="s">
        <v>46</v>
      </c>
      <c r="BP50" t="s">
        <v>76</v>
      </c>
      <c r="BQ50" t="s">
        <v>49</v>
      </c>
      <c r="BR50" t="str">
        <f>IF(Dashboard!$Q$2=0,"",INDEX($E$340:$BL$340,1,Dashboard!$Q$2))</f>
        <v/>
      </c>
      <c r="BS50">
        <f>IF(Dashboard!$Q$3&lt;42,0,MATCH(42,$E$386:$BL$386,0))</f>
        <v>0</v>
      </c>
      <c r="BT50" s="2" t="str">
        <f>IF(BS50=0,"",IF(OR(Dashboard!$Q$3&lt;=12,MOD(41,IF(Dashboard!$Q$3&lt;=24,2,IF(Dashboard!$Q$3&lt;=36,3,6)))=0,Dashboard!$Q$3=42),TEXT(INDEX($E$10:$BL$10,1,BS50),"mmm yy"),""))</f>
        <v/>
      </c>
      <c r="BU50" s="2" t="str">
        <f t="shared" si="3"/>
        <v/>
      </c>
      <c r="BV50" s="72">
        <f>IF(Dashboard!$Q$3=0,$E$10,INDEX($E$10:$BL$10,1,IF(BS50=0,Dashboard!$Q$2,BS50)))</f>
        <v>46296</v>
      </c>
      <c r="BW50" t="str">
        <f>IF(Dashboard!$Q$3=0,"",INDEX($E$326:$BL$326,1,IF(BS50=0,Dashboard!$Q$2,BS50)))</f>
        <v/>
      </c>
    </row>
    <row r="51" spans="2:75" ht="8" customHeight="1" x14ac:dyDescent="0.35">
      <c r="B51" s="10"/>
      <c r="C51" s="9"/>
      <c r="D51" s="9"/>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Q51" t="s">
        <v>56</v>
      </c>
      <c r="BR51" t="str">
        <f>IF(Dashboard!$Q$2=0,"",INDEX($E$341:$BL$341,1,Dashboard!$Q$2))</f>
        <v/>
      </c>
      <c r="BS51">
        <f>IF(Dashboard!$Q$3&lt;43,0,MATCH(43,$E$386:$BL$386,0))</f>
        <v>0</v>
      </c>
      <c r="BT51" s="2" t="str">
        <f>IF(BS51=0,"",IF(OR(Dashboard!$Q$3&lt;=12,MOD(42,IF(Dashboard!$Q$3&lt;=24,2,IF(Dashboard!$Q$3&lt;=36,3,6)))=0,Dashboard!$Q$3=43),TEXT(INDEX($E$10:$BL$10,1,BS51),"mmm yy"),""))</f>
        <v/>
      </c>
      <c r="BU51" s="2" t="str">
        <f t="shared" si="3"/>
        <v/>
      </c>
      <c r="BV51" s="72">
        <f>IF(Dashboard!$Q$3=0,$E$10,INDEX($E$10:$BL$10,1,IF(BS51=0,Dashboard!$Q$2,BS51)))</f>
        <v>46296</v>
      </c>
      <c r="BW51" t="str">
        <f>IF(Dashboard!$Q$3=0,"",INDEX($E$326:$BL$326,1,IF(BS51=0,Dashboard!$Q$2,BS51)))</f>
        <v/>
      </c>
    </row>
    <row r="52" spans="2:75" ht="27" customHeight="1" x14ac:dyDescent="0.35">
      <c r="B52" s="96" t="s">
        <v>77</v>
      </c>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Q52" t="s">
        <v>78</v>
      </c>
      <c r="BR52" t="str">
        <f>IF(Dashboard!$Q$2=0,"",INDEX($E$342:$BL$342,1,Dashboard!$Q$2))</f>
        <v/>
      </c>
      <c r="BS52">
        <f>IF(Dashboard!$Q$3&lt;44,0,MATCH(44,$E$386:$BL$386,0))</f>
        <v>0</v>
      </c>
      <c r="BT52" s="2" t="str">
        <f>IF(BS52=0,"",IF(OR(Dashboard!$Q$3&lt;=12,MOD(43,IF(Dashboard!$Q$3&lt;=24,2,IF(Dashboard!$Q$3&lt;=36,3,6)))=0,Dashboard!$Q$3=44),TEXT(INDEX($E$10:$BL$10,1,BS52),"mmm yy"),""))</f>
        <v/>
      </c>
      <c r="BU52" s="2" t="str">
        <f t="shared" si="3"/>
        <v/>
      </c>
      <c r="BV52" s="72">
        <f>IF(Dashboard!$Q$3=0,$E$10,INDEX($E$10:$BL$10,1,IF(BS52=0,Dashboard!$Q$2,BS52)))</f>
        <v>46296</v>
      </c>
      <c r="BW52" t="str">
        <f>IF(Dashboard!$Q$3=0,"",INDEX($E$326:$BL$326,1,IF(BS52=0,Dashboard!$Q$2,BS52)))</f>
        <v/>
      </c>
    </row>
    <row r="53" spans="2:75" ht="23" customHeight="1" x14ac:dyDescent="0.35">
      <c r="B53" s="17" t="s">
        <v>79</v>
      </c>
      <c r="C53" s="18" t="s">
        <v>15</v>
      </c>
      <c r="D53" s="19"/>
      <c r="E53" s="14"/>
      <c r="F53" s="14"/>
      <c r="G53" s="14"/>
      <c r="H53" s="14"/>
      <c r="I53" s="14"/>
      <c r="J53" s="14"/>
      <c r="K53" s="14"/>
      <c r="L53" s="14"/>
      <c r="M53" s="14"/>
      <c r="N53" s="14"/>
      <c r="O53" s="14"/>
      <c r="P53" s="14"/>
      <c r="Q53" s="15"/>
      <c r="R53" s="15"/>
      <c r="S53" s="15"/>
      <c r="T53" s="15"/>
      <c r="U53" s="15"/>
      <c r="V53" s="15"/>
      <c r="W53" s="15"/>
      <c r="X53" s="15"/>
      <c r="Y53" s="15"/>
      <c r="Z53" s="15"/>
      <c r="AA53" s="15"/>
      <c r="AB53" s="15"/>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t="s">
        <v>23</v>
      </c>
      <c r="BN53" t="s">
        <v>80</v>
      </c>
      <c r="BO53" t="s">
        <v>25</v>
      </c>
      <c r="BS53">
        <f>IF(Dashboard!$Q$3&lt;45,0,MATCH(45,$E$386:$BL$386,0))</f>
        <v>0</v>
      </c>
      <c r="BT53" s="2" t="str">
        <f>IF(BS53=0,"",IF(OR(Dashboard!$Q$3&lt;=12,MOD(44,IF(Dashboard!$Q$3&lt;=24,2,IF(Dashboard!$Q$3&lt;=36,3,6)))=0,Dashboard!$Q$3=45),TEXT(INDEX($E$10:$BL$10,1,BS53),"mmm yy"),""))</f>
        <v/>
      </c>
      <c r="BU53" s="2" t="str">
        <f t="shared" si="3"/>
        <v/>
      </c>
      <c r="BV53" s="72">
        <f>IF(Dashboard!$Q$3=0,$E$10,INDEX($E$10:$BL$10,1,IF(BS53=0,Dashboard!$Q$2,BS53)))</f>
        <v>46296</v>
      </c>
      <c r="BW53" t="str">
        <f>IF(Dashboard!$Q$3=0,"",INDEX($E$326:$BL$326,1,IF(BS53=0,Dashboard!$Q$2,BS53)))</f>
        <v/>
      </c>
    </row>
    <row r="54" spans="2:75" ht="23" customHeight="1" x14ac:dyDescent="0.35">
      <c r="B54" s="11" t="s">
        <v>81</v>
      </c>
      <c r="C54" s="12" t="s">
        <v>15</v>
      </c>
      <c r="D54" s="13"/>
      <c r="E54" s="14"/>
      <c r="F54" s="14"/>
      <c r="G54" s="14"/>
      <c r="H54" s="14"/>
      <c r="I54" s="14"/>
      <c r="J54" s="14"/>
      <c r="K54" s="14"/>
      <c r="L54" s="14"/>
      <c r="M54" s="14"/>
      <c r="N54" s="14"/>
      <c r="O54" s="14"/>
      <c r="P54" s="14"/>
      <c r="Q54" s="15"/>
      <c r="R54" s="15"/>
      <c r="S54" s="15"/>
      <c r="T54" s="15"/>
      <c r="U54" s="15"/>
      <c r="V54" s="15"/>
      <c r="W54" s="15"/>
      <c r="X54" s="15"/>
      <c r="Y54" s="15"/>
      <c r="Z54" s="15"/>
      <c r="AA54" s="15"/>
      <c r="AB54" s="15"/>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t="s">
        <v>23</v>
      </c>
      <c r="BN54" t="s">
        <v>80</v>
      </c>
      <c r="BO54" t="s">
        <v>34</v>
      </c>
      <c r="BS54">
        <f>IF(Dashboard!$Q$3&lt;46,0,MATCH(46,$E$386:$BL$386,0))</f>
        <v>0</v>
      </c>
      <c r="BT54" s="2" t="str">
        <f>IF(BS54=0,"",IF(OR(Dashboard!$Q$3&lt;=12,MOD(45,IF(Dashboard!$Q$3&lt;=24,2,IF(Dashboard!$Q$3&lt;=36,3,6)))=0,Dashboard!$Q$3=46),TEXT(INDEX($E$10:$BL$10,1,BS54),"mmm yy"),""))</f>
        <v/>
      </c>
      <c r="BU54" s="2" t="str">
        <f t="shared" si="3"/>
        <v/>
      </c>
      <c r="BV54" s="72">
        <f>IF(Dashboard!$Q$3=0,$E$10,INDEX($E$10:$BL$10,1,IF(BS54=0,Dashboard!$Q$2,BS54)))</f>
        <v>46296</v>
      </c>
      <c r="BW54" t="str">
        <f>IF(Dashboard!$Q$3=0,"",INDEX($E$326:$BL$326,1,IF(BS54=0,Dashboard!$Q$2,BS54)))</f>
        <v/>
      </c>
    </row>
    <row r="55" spans="2:75" ht="23" customHeight="1" x14ac:dyDescent="0.35">
      <c r="B55" s="17" t="s">
        <v>82</v>
      </c>
      <c r="C55" s="18" t="s">
        <v>15</v>
      </c>
      <c r="D55" s="19"/>
      <c r="E55" s="14"/>
      <c r="F55" s="14"/>
      <c r="G55" s="14"/>
      <c r="H55" s="14"/>
      <c r="I55" s="14"/>
      <c r="J55" s="14"/>
      <c r="K55" s="14"/>
      <c r="L55" s="14"/>
      <c r="M55" s="14"/>
      <c r="N55" s="14"/>
      <c r="O55" s="14"/>
      <c r="P55" s="14"/>
      <c r="Q55" s="15"/>
      <c r="R55" s="15"/>
      <c r="S55" s="15"/>
      <c r="T55" s="15"/>
      <c r="U55" s="15"/>
      <c r="V55" s="15"/>
      <c r="W55" s="15"/>
      <c r="X55" s="15"/>
      <c r="Y55" s="15"/>
      <c r="Z55" s="15"/>
      <c r="AA55" s="15"/>
      <c r="AB55" s="15"/>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t="s">
        <v>23</v>
      </c>
      <c r="BN55" t="s">
        <v>80</v>
      </c>
      <c r="BO55" t="s">
        <v>25</v>
      </c>
      <c r="BS55">
        <f>IF(Dashboard!$Q$3&lt;47,0,MATCH(47,$E$386:$BL$386,0))</f>
        <v>0</v>
      </c>
      <c r="BT55" s="2" t="str">
        <f>IF(BS55=0,"",IF(OR(Dashboard!$Q$3&lt;=12,MOD(46,IF(Dashboard!$Q$3&lt;=24,2,IF(Dashboard!$Q$3&lt;=36,3,6)))=0,Dashboard!$Q$3=47),TEXT(INDEX($E$10:$BL$10,1,BS55),"mmm yy"),""))</f>
        <v/>
      </c>
      <c r="BU55" s="2" t="str">
        <f t="shared" si="3"/>
        <v/>
      </c>
      <c r="BV55" s="72">
        <f>IF(Dashboard!$Q$3=0,$E$10,INDEX($E$10:$BL$10,1,IF(BS55=0,Dashboard!$Q$2,BS55)))</f>
        <v>46296</v>
      </c>
      <c r="BW55" t="str">
        <f>IF(Dashboard!$Q$3=0,"",INDEX($E$326:$BL$326,1,IF(BS55=0,Dashboard!$Q$2,BS55)))</f>
        <v/>
      </c>
    </row>
    <row r="56" spans="2:75" ht="23" customHeight="1" x14ac:dyDescent="0.35">
      <c r="B56" s="20" t="s">
        <v>83</v>
      </c>
      <c r="C56" s="21" t="s">
        <v>15</v>
      </c>
      <c r="D56" s="22"/>
      <c r="E56" s="14"/>
      <c r="F56" s="14"/>
      <c r="G56" s="14"/>
      <c r="H56" s="14"/>
      <c r="I56" s="14"/>
      <c r="J56" s="14"/>
      <c r="K56" s="14"/>
      <c r="L56" s="14"/>
      <c r="M56" s="14"/>
      <c r="N56" s="14"/>
      <c r="O56" s="14"/>
      <c r="P56" s="14"/>
      <c r="Q56" s="15"/>
      <c r="R56" s="15"/>
      <c r="S56" s="15"/>
      <c r="T56" s="15"/>
      <c r="U56" s="15"/>
      <c r="V56" s="15"/>
      <c r="W56" s="15"/>
      <c r="X56" s="15"/>
      <c r="Y56" s="15"/>
      <c r="Z56" s="15"/>
      <c r="AA56" s="15"/>
      <c r="AB56" s="15"/>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t="s">
        <v>23</v>
      </c>
      <c r="BN56" t="s">
        <v>80</v>
      </c>
      <c r="BO56" t="s">
        <v>34</v>
      </c>
      <c r="BS56">
        <f>IF(Dashboard!$Q$3&lt;48,0,MATCH(48,$E$386:$BL$386,0))</f>
        <v>0</v>
      </c>
      <c r="BT56" s="2" t="str">
        <f>IF(BS56=0,"",IF(OR(Dashboard!$Q$3&lt;=12,MOD(47,IF(Dashboard!$Q$3&lt;=24,2,IF(Dashboard!$Q$3&lt;=36,3,6)))=0,Dashboard!$Q$3=48),TEXT(INDEX($E$10:$BL$10,1,BS56),"mmm yy"),""))</f>
        <v/>
      </c>
      <c r="BU56" s="2" t="str">
        <f t="shared" si="3"/>
        <v/>
      </c>
      <c r="BV56" s="72">
        <f>IF(Dashboard!$Q$3=0,$E$10,INDEX($E$10:$BL$10,1,IF(BS56=0,Dashboard!$Q$2,BS56)))</f>
        <v>46296</v>
      </c>
      <c r="BW56" t="str">
        <f>IF(Dashboard!$Q$3=0,"",INDEX($E$326:$BL$326,1,IF(BS56=0,Dashboard!$Q$2,BS56)))</f>
        <v/>
      </c>
    </row>
    <row r="57" spans="2:75" ht="23" customHeight="1" x14ac:dyDescent="0.35">
      <c r="B57" s="20" t="s">
        <v>84</v>
      </c>
      <c r="C57" s="21" t="s">
        <v>15</v>
      </c>
      <c r="D57" s="22"/>
      <c r="E57" s="14"/>
      <c r="F57" s="14"/>
      <c r="G57" s="14"/>
      <c r="H57" s="14"/>
      <c r="I57" s="14"/>
      <c r="J57" s="14"/>
      <c r="K57" s="14"/>
      <c r="L57" s="14"/>
      <c r="M57" s="14"/>
      <c r="N57" s="14"/>
      <c r="O57" s="14"/>
      <c r="P57" s="14"/>
      <c r="Q57" s="15"/>
      <c r="R57" s="15"/>
      <c r="S57" s="15"/>
      <c r="T57" s="15"/>
      <c r="U57" s="15"/>
      <c r="V57" s="15"/>
      <c r="W57" s="15"/>
      <c r="X57" s="15"/>
      <c r="Y57" s="15"/>
      <c r="Z57" s="15"/>
      <c r="AA57" s="15"/>
      <c r="AB57" s="15"/>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t="s">
        <v>23</v>
      </c>
      <c r="BN57" t="s">
        <v>80</v>
      </c>
      <c r="BO57" t="s">
        <v>34</v>
      </c>
      <c r="BS57">
        <f>IF(Dashboard!$Q$3&lt;49,0,MATCH(49,$E$386:$BL$386,0))</f>
        <v>0</v>
      </c>
      <c r="BT57" s="2" t="str">
        <f>IF(BS57=0,"",IF(OR(Dashboard!$Q$3&lt;=12,MOD(48,IF(Dashboard!$Q$3&lt;=24,2,IF(Dashboard!$Q$3&lt;=36,3,6)))=0,Dashboard!$Q$3=49),TEXT(INDEX($E$10:$BL$10,1,BS57),"mmm yy"),""))</f>
        <v/>
      </c>
      <c r="BU57" s="2" t="str">
        <f t="shared" si="3"/>
        <v/>
      </c>
      <c r="BV57" s="72">
        <f>IF(Dashboard!$Q$3=0,$E$10,INDEX($E$10:$BL$10,1,IF(BS57=0,Dashboard!$Q$2,BS57)))</f>
        <v>46296</v>
      </c>
      <c r="BW57" t="str">
        <f>IF(Dashboard!$Q$3=0,"",INDEX($E$326:$BL$326,1,IF(BS57=0,Dashboard!$Q$2,BS57)))</f>
        <v/>
      </c>
    </row>
    <row r="58" spans="2:75" ht="23" customHeight="1" x14ac:dyDescent="0.35">
      <c r="B58" s="20" t="s">
        <v>85</v>
      </c>
      <c r="C58" s="21" t="s">
        <v>15</v>
      </c>
      <c r="D58" s="22"/>
      <c r="E58" s="14"/>
      <c r="F58" s="14"/>
      <c r="G58" s="14"/>
      <c r="H58" s="14"/>
      <c r="I58" s="14"/>
      <c r="J58" s="14"/>
      <c r="K58" s="14"/>
      <c r="L58" s="14"/>
      <c r="M58" s="14"/>
      <c r="N58" s="14"/>
      <c r="O58" s="14"/>
      <c r="P58" s="14"/>
      <c r="Q58" s="15"/>
      <c r="R58" s="15"/>
      <c r="S58" s="15"/>
      <c r="T58" s="15"/>
      <c r="U58" s="15"/>
      <c r="V58" s="15"/>
      <c r="W58" s="15"/>
      <c r="X58" s="15"/>
      <c r="Y58" s="15"/>
      <c r="Z58" s="15"/>
      <c r="AA58" s="15"/>
      <c r="AB58" s="15"/>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t="s">
        <v>23</v>
      </c>
      <c r="BN58" t="s">
        <v>80</v>
      </c>
      <c r="BO58" t="s">
        <v>34</v>
      </c>
      <c r="BS58">
        <f>IF(Dashboard!$Q$3&lt;50,0,MATCH(50,$E$386:$BL$386,0))</f>
        <v>0</v>
      </c>
      <c r="BT58" s="2" t="str">
        <f>IF(BS58=0,"",IF(OR(Dashboard!$Q$3&lt;=12,MOD(49,IF(Dashboard!$Q$3&lt;=24,2,IF(Dashboard!$Q$3&lt;=36,3,6)))=0,Dashboard!$Q$3=50),TEXT(INDEX($E$10:$BL$10,1,BS58),"mmm yy"),""))</f>
        <v/>
      </c>
      <c r="BU58" s="2" t="str">
        <f t="shared" si="3"/>
        <v/>
      </c>
      <c r="BV58" s="72">
        <f>IF(Dashboard!$Q$3=0,$E$10,INDEX($E$10:$BL$10,1,IF(BS58=0,Dashboard!$Q$2,BS58)))</f>
        <v>46296</v>
      </c>
      <c r="BW58" t="str">
        <f>IF(Dashboard!$Q$3=0,"",INDEX($E$326:$BL$326,1,IF(BS58=0,Dashboard!$Q$2,BS58)))</f>
        <v/>
      </c>
    </row>
    <row r="59" spans="2:75" ht="8" customHeight="1" x14ac:dyDescent="0.35">
      <c r="B59" s="10"/>
      <c r="C59" s="9"/>
      <c r="D59" s="9"/>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S59">
        <f>IF(Dashboard!$Q$3&lt;51,0,MATCH(51,$E$386:$BL$386,0))</f>
        <v>0</v>
      </c>
      <c r="BT59" s="2" t="str">
        <f>IF(BS59=0,"",IF(OR(Dashboard!$Q$3&lt;=12,MOD(50,IF(Dashboard!$Q$3&lt;=24,2,IF(Dashboard!$Q$3&lt;=36,3,6)))=0,Dashboard!$Q$3=51),TEXT(INDEX($E$10:$BL$10,1,BS59),"mmm yy"),""))</f>
        <v/>
      </c>
      <c r="BU59" s="2" t="str">
        <f t="shared" si="3"/>
        <v/>
      </c>
      <c r="BV59" s="72">
        <f>IF(Dashboard!$Q$3=0,$E$10,INDEX($E$10:$BL$10,1,IF(BS59=0,Dashboard!$Q$2,BS59)))</f>
        <v>46296</v>
      </c>
      <c r="BW59" t="str">
        <f>IF(Dashboard!$Q$3=0,"",INDEX($E$326:$BL$326,1,IF(BS59=0,Dashboard!$Q$2,BS59)))</f>
        <v/>
      </c>
    </row>
    <row r="60" spans="2:75" ht="27" customHeight="1" x14ac:dyDescent="0.35">
      <c r="B60" s="96" t="s">
        <v>86</v>
      </c>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S60">
        <f>IF(Dashboard!$Q$3&lt;52,0,MATCH(52,$E$386:$BL$386,0))</f>
        <v>0</v>
      </c>
      <c r="BT60" s="2" t="str">
        <f>IF(BS60=0,"",IF(OR(Dashboard!$Q$3&lt;=12,MOD(51,IF(Dashboard!$Q$3&lt;=24,2,IF(Dashboard!$Q$3&lt;=36,3,6)))=0,Dashboard!$Q$3=52),TEXT(INDEX($E$10:$BL$10,1,BS60),"mmm yy"),""))</f>
        <v/>
      </c>
      <c r="BU60" s="2" t="str">
        <f t="shared" si="3"/>
        <v/>
      </c>
      <c r="BV60" s="72">
        <f>IF(Dashboard!$Q$3=0,$E$10,INDEX($E$10:$BL$10,1,IF(BS60=0,Dashboard!$Q$2,BS60)))</f>
        <v>46296</v>
      </c>
      <c r="BW60" t="str">
        <f>IF(Dashboard!$Q$3=0,"",INDEX($E$326:$BL$326,1,IF(BS60=0,Dashboard!$Q$2,BS60)))</f>
        <v/>
      </c>
    </row>
    <row r="61" spans="2:75" ht="23" customHeight="1" x14ac:dyDescent="0.35">
      <c r="B61" s="17" t="s">
        <v>87</v>
      </c>
      <c r="C61" s="18" t="s">
        <v>15</v>
      </c>
      <c r="D61" s="19"/>
      <c r="E61" s="14"/>
      <c r="F61" s="14"/>
      <c r="G61" s="14"/>
      <c r="H61" s="14"/>
      <c r="I61" s="14"/>
      <c r="J61" s="14"/>
      <c r="K61" s="14"/>
      <c r="L61" s="14"/>
      <c r="M61" s="14"/>
      <c r="N61" s="14"/>
      <c r="O61" s="14"/>
      <c r="P61" s="14"/>
      <c r="Q61" s="15"/>
      <c r="R61" s="15"/>
      <c r="S61" s="15"/>
      <c r="T61" s="15"/>
      <c r="U61" s="15"/>
      <c r="V61" s="15"/>
      <c r="W61" s="15"/>
      <c r="X61" s="15"/>
      <c r="Y61" s="15"/>
      <c r="Z61" s="15"/>
      <c r="AA61" s="15"/>
      <c r="AB61" s="15"/>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t="s">
        <v>23</v>
      </c>
      <c r="BN61" t="s">
        <v>88</v>
      </c>
      <c r="BO61" t="s">
        <v>50</v>
      </c>
      <c r="BS61">
        <f>IF(Dashboard!$Q$3&lt;53,0,MATCH(53,$E$386:$BL$386,0))</f>
        <v>0</v>
      </c>
      <c r="BT61" s="2" t="str">
        <f>IF(BS61=0,"",IF(OR(Dashboard!$Q$3&lt;=12,MOD(52,IF(Dashboard!$Q$3&lt;=24,2,IF(Dashboard!$Q$3&lt;=36,3,6)))=0,Dashboard!$Q$3=53),TEXT(INDEX($E$10:$BL$10,1,BS61),"mmm yy"),""))</f>
        <v/>
      </c>
      <c r="BU61" s="2" t="str">
        <f t="shared" si="3"/>
        <v/>
      </c>
      <c r="BV61" s="72">
        <f>IF(Dashboard!$Q$3=0,$E$10,INDEX($E$10:$BL$10,1,IF(BS61=0,Dashboard!$Q$2,BS61)))</f>
        <v>46296</v>
      </c>
      <c r="BW61" t="str">
        <f>IF(Dashboard!$Q$3=0,"",INDEX($E$326:$BL$326,1,IF(BS61=0,Dashboard!$Q$2,BS61)))</f>
        <v/>
      </c>
    </row>
    <row r="62" spans="2:75" ht="23" customHeight="1" x14ac:dyDescent="0.35">
      <c r="B62" s="11" t="s">
        <v>89</v>
      </c>
      <c r="C62" s="12" t="s">
        <v>15</v>
      </c>
      <c r="D62" s="13"/>
      <c r="E62" s="14"/>
      <c r="F62" s="14"/>
      <c r="G62" s="14"/>
      <c r="H62" s="14"/>
      <c r="I62" s="14"/>
      <c r="J62" s="14"/>
      <c r="K62" s="14"/>
      <c r="L62" s="14"/>
      <c r="M62" s="14"/>
      <c r="N62" s="14"/>
      <c r="O62" s="14"/>
      <c r="P62" s="14"/>
      <c r="Q62" s="15"/>
      <c r="R62" s="15"/>
      <c r="S62" s="15"/>
      <c r="T62" s="15"/>
      <c r="U62" s="15"/>
      <c r="V62" s="15"/>
      <c r="W62" s="15"/>
      <c r="X62" s="15"/>
      <c r="Y62" s="15"/>
      <c r="Z62" s="15"/>
      <c r="AA62" s="15"/>
      <c r="AB62" s="15"/>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t="s">
        <v>23</v>
      </c>
      <c r="BN62" t="s">
        <v>88</v>
      </c>
      <c r="BO62" t="s">
        <v>50</v>
      </c>
      <c r="BQ62" t="s">
        <v>28</v>
      </c>
      <c r="BR62" t="str">
        <f>IF(Dashboard!$Q$2=0,"",INDEX($E$330:$BL$330,1,Dashboard!$Q$2))</f>
        <v/>
      </c>
      <c r="BS62">
        <f>IF(Dashboard!$Q$3&lt;54,0,MATCH(54,$E$386:$BL$386,0))</f>
        <v>0</v>
      </c>
      <c r="BT62" s="2" t="str">
        <f>IF(BS62=0,"",IF(OR(Dashboard!$Q$3&lt;=12,MOD(53,IF(Dashboard!$Q$3&lt;=24,2,IF(Dashboard!$Q$3&lt;=36,3,6)))=0,Dashboard!$Q$3=54),TEXT(INDEX($E$10:$BL$10,1,BS62),"mmm yy"),""))</f>
        <v/>
      </c>
      <c r="BU62" s="2" t="str">
        <f t="shared" si="3"/>
        <v/>
      </c>
      <c r="BV62" s="72">
        <f>IF(Dashboard!$Q$3=0,$E$10,INDEX($E$10:$BL$10,1,IF(BS62=0,Dashboard!$Q$2,BS62)))</f>
        <v>46296</v>
      </c>
      <c r="BW62" t="str">
        <f>IF(Dashboard!$Q$3=0,"",INDEX($E$326:$BL$326,1,IF(BS62=0,Dashboard!$Q$2,BS62)))</f>
        <v/>
      </c>
    </row>
    <row r="63" spans="2:75" ht="23" customHeight="1" x14ac:dyDescent="0.35">
      <c r="B63" s="17" t="s">
        <v>90</v>
      </c>
      <c r="C63" s="18" t="s">
        <v>15</v>
      </c>
      <c r="D63" s="19"/>
      <c r="E63" s="14"/>
      <c r="F63" s="14"/>
      <c r="G63" s="14"/>
      <c r="H63" s="14"/>
      <c r="I63" s="14"/>
      <c r="J63" s="14"/>
      <c r="K63" s="14"/>
      <c r="L63" s="14"/>
      <c r="M63" s="14"/>
      <c r="N63" s="14"/>
      <c r="O63" s="14"/>
      <c r="P63" s="14"/>
      <c r="Q63" s="15"/>
      <c r="R63" s="15"/>
      <c r="S63" s="15"/>
      <c r="T63" s="15"/>
      <c r="U63" s="15"/>
      <c r="V63" s="15"/>
      <c r="W63" s="15"/>
      <c r="X63" s="15"/>
      <c r="Y63" s="15"/>
      <c r="Z63" s="15"/>
      <c r="AA63" s="15"/>
      <c r="AB63" s="15"/>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t="s">
        <v>23</v>
      </c>
      <c r="BN63" t="s">
        <v>88</v>
      </c>
      <c r="BO63" t="s">
        <v>50</v>
      </c>
      <c r="BQ63" t="s">
        <v>15</v>
      </c>
      <c r="BR63" t="str">
        <f>IF(Dashboard!$Q$2=0,"",INDEX($E$331:$BL$331,1,Dashboard!$Q$2))</f>
        <v/>
      </c>
      <c r="BS63">
        <f>IF(Dashboard!$Q$3&lt;55,0,MATCH(55,$E$386:$BL$386,0))</f>
        <v>0</v>
      </c>
      <c r="BT63" s="2" t="str">
        <f>IF(BS63=0,"",IF(OR(Dashboard!$Q$3&lt;=12,MOD(54,IF(Dashboard!$Q$3&lt;=24,2,IF(Dashboard!$Q$3&lt;=36,3,6)))=0,Dashboard!$Q$3=55),TEXT(INDEX($E$10:$BL$10,1,BS63),"mmm yy"),""))</f>
        <v/>
      </c>
      <c r="BU63" s="2" t="str">
        <f t="shared" si="3"/>
        <v/>
      </c>
      <c r="BV63" s="72">
        <f>IF(Dashboard!$Q$3=0,$E$10,INDEX($E$10:$BL$10,1,IF(BS63=0,Dashboard!$Q$2,BS63)))</f>
        <v>46296</v>
      </c>
      <c r="BW63" t="str">
        <f>IF(Dashboard!$Q$3=0,"",INDEX($E$326:$BL$326,1,IF(BS63=0,Dashboard!$Q$2,BS63)))</f>
        <v/>
      </c>
    </row>
    <row r="64" spans="2:75" ht="23" customHeight="1" x14ac:dyDescent="0.35">
      <c r="B64" s="20" t="s">
        <v>91</v>
      </c>
      <c r="C64" s="21" t="s">
        <v>15</v>
      </c>
      <c r="D64" s="22"/>
      <c r="E64" s="14"/>
      <c r="F64" s="14"/>
      <c r="G64" s="14"/>
      <c r="H64" s="14"/>
      <c r="I64" s="14"/>
      <c r="J64" s="14"/>
      <c r="K64" s="14"/>
      <c r="L64" s="14"/>
      <c r="M64" s="14"/>
      <c r="N64" s="14"/>
      <c r="O64" s="14"/>
      <c r="P64" s="14"/>
      <c r="Q64" s="15"/>
      <c r="R64" s="15"/>
      <c r="S64" s="15"/>
      <c r="T64" s="15"/>
      <c r="U64" s="15"/>
      <c r="V64" s="15"/>
      <c r="W64" s="15"/>
      <c r="X64" s="15"/>
      <c r="Y64" s="15"/>
      <c r="Z64" s="15"/>
      <c r="AA64" s="15"/>
      <c r="AB64" s="15"/>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t="s">
        <v>23</v>
      </c>
      <c r="BN64" t="s">
        <v>88</v>
      </c>
      <c r="BO64" t="s">
        <v>50</v>
      </c>
      <c r="BS64">
        <f>IF(Dashboard!$Q$3&lt;56,0,MATCH(56,$E$386:$BL$386,0))</f>
        <v>0</v>
      </c>
      <c r="BT64" s="2" t="str">
        <f>IF(BS64=0,"",IF(OR(Dashboard!$Q$3&lt;=12,MOD(55,IF(Dashboard!$Q$3&lt;=24,2,IF(Dashboard!$Q$3&lt;=36,3,6)))=0,Dashboard!$Q$3=56),TEXT(INDEX($E$10:$BL$10,1,BS64),"mmm yy"),""))</f>
        <v/>
      </c>
      <c r="BU64" s="2" t="str">
        <f t="shared" si="3"/>
        <v/>
      </c>
      <c r="BV64" s="72">
        <f>IF(Dashboard!$Q$3=0,$E$10,INDEX($E$10:$BL$10,1,IF(BS64=0,Dashboard!$Q$2,BS64)))</f>
        <v>46296</v>
      </c>
      <c r="BW64" t="str">
        <f>IF(Dashboard!$Q$3=0,"",INDEX($E$326:$BL$326,1,IF(BS64=0,Dashboard!$Q$2,BS64)))</f>
        <v/>
      </c>
    </row>
    <row r="65" spans="2:75" ht="23" customHeight="1" x14ac:dyDescent="0.35">
      <c r="B65" s="20" t="s">
        <v>92</v>
      </c>
      <c r="C65" s="21" t="s">
        <v>15</v>
      </c>
      <c r="D65" s="22"/>
      <c r="E65" s="14"/>
      <c r="F65" s="14"/>
      <c r="G65" s="14"/>
      <c r="H65" s="14"/>
      <c r="I65" s="14"/>
      <c r="J65" s="14"/>
      <c r="K65" s="14"/>
      <c r="L65" s="14"/>
      <c r="M65" s="14"/>
      <c r="N65" s="14"/>
      <c r="O65" s="14"/>
      <c r="P65" s="14"/>
      <c r="Q65" s="15"/>
      <c r="R65" s="15"/>
      <c r="S65" s="15"/>
      <c r="T65" s="15"/>
      <c r="U65" s="15"/>
      <c r="V65" s="15"/>
      <c r="W65" s="15"/>
      <c r="X65" s="15"/>
      <c r="Y65" s="15"/>
      <c r="Z65" s="15"/>
      <c r="AA65" s="15"/>
      <c r="AB65" s="15"/>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t="s">
        <v>23</v>
      </c>
      <c r="BN65" t="s">
        <v>88</v>
      </c>
      <c r="BO65" t="s">
        <v>50</v>
      </c>
      <c r="BS65">
        <f>IF(Dashboard!$Q$3&lt;57,0,MATCH(57,$E$386:$BL$386,0))</f>
        <v>0</v>
      </c>
      <c r="BT65" s="2" t="str">
        <f>IF(BS65=0,"",IF(OR(Dashboard!$Q$3&lt;=12,MOD(56,IF(Dashboard!$Q$3&lt;=24,2,IF(Dashboard!$Q$3&lt;=36,3,6)))=0,Dashboard!$Q$3=57),TEXT(INDEX($E$10:$BL$10,1,BS65),"mmm yy"),""))</f>
        <v/>
      </c>
      <c r="BU65" s="2" t="str">
        <f t="shared" si="3"/>
        <v/>
      </c>
      <c r="BV65" s="72">
        <f>IF(Dashboard!$Q$3=0,$E$10,INDEX($E$10:$BL$10,1,IF(BS65=0,Dashboard!$Q$2,BS65)))</f>
        <v>46296</v>
      </c>
      <c r="BW65" t="str">
        <f>IF(Dashboard!$Q$3=0,"",INDEX($E$326:$BL$326,1,IF(BS65=0,Dashboard!$Q$2,BS65)))</f>
        <v/>
      </c>
    </row>
    <row r="66" spans="2:75" ht="23" customHeight="1" x14ac:dyDescent="0.35">
      <c r="B66" s="20" t="s">
        <v>93</v>
      </c>
      <c r="C66" s="21" t="s">
        <v>15</v>
      </c>
      <c r="D66" s="22"/>
      <c r="E66" s="14"/>
      <c r="F66" s="14"/>
      <c r="G66" s="14"/>
      <c r="H66" s="14"/>
      <c r="I66" s="14"/>
      <c r="J66" s="14"/>
      <c r="K66" s="14"/>
      <c r="L66" s="14"/>
      <c r="M66" s="14"/>
      <c r="N66" s="14"/>
      <c r="O66" s="14"/>
      <c r="P66" s="14"/>
      <c r="Q66" s="15"/>
      <c r="R66" s="15"/>
      <c r="S66" s="15"/>
      <c r="T66" s="15"/>
      <c r="U66" s="15"/>
      <c r="V66" s="15"/>
      <c r="W66" s="15"/>
      <c r="X66" s="15"/>
      <c r="Y66" s="15"/>
      <c r="Z66" s="15"/>
      <c r="AA66" s="15"/>
      <c r="AB66" s="15"/>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t="s">
        <v>23</v>
      </c>
      <c r="BN66" t="s">
        <v>88</v>
      </c>
      <c r="BO66" t="s">
        <v>50</v>
      </c>
      <c r="BS66">
        <f>IF(Dashboard!$Q$3&lt;58,0,MATCH(58,$E$386:$BL$386,0))</f>
        <v>0</v>
      </c>
      <c r="BT66" s="2" t="str">
        <f>IF(BS66=0,"",IF(OR(Dashboard!$Q$3&lt;=12,MOD(57,IF(Dashboard!$Q$3&lt;=24,2,IF(Dashboard!$Q$3&lt;=36,3,6)))=0,Dashboard!$Q$3=58),TEXT(INDEX($E$10:$BL$10,1,BS66),"mmm yy"),""))</f>
        <v/>
      </c>
      <c r="BU66" s="2" t="str">
        <f t="shared" si="3"/>
        <v/>
      </c>
      <c r="BV66" s="72">
        <f>IF(Dashboard!$Q$3=0,$E$10,INDEX($E$10:$BL$10,1,IF(BS66=0,Dashboard!$Q$2,BS66)))</f>
        <v>46296</v>
      </c>
      <c r="BW66" t="str">
        <f>IF(Dashboard!$Q$3=0,"",INDEX($E$326:$BL$326,1,IF(BS66=0,Dashboard!$Q$2,BS66)))</f>
        <v/>
      </c>
    </row>
    <row r="67" spans="2:75" ht="23" customHeight="1" x14ac:dyDescent="0.35">
      <c r="B67" s="20" t="s">
        <v>94</v>
      </c>
      <c r="C67" s="21" t="s">
        <v>15</v>
      </c>
      <c r="D67" s="22"/>
      <c r="E67" s="14"/>
      <c r="F67" s="14"/>
      <c r="G67" s="14"/>
      <c r="H67" s="14"/>
      <c r="I67" s="14"/>
      <c r="J67" s="14"/>
      <c r="K67" s="14"/>
      <c r="L67" s="14"/>
      <c r="M67" s="14"/>
      <c r="N67" s="14"/>
      <c r="O67" s="14"/>
      <c r="P67" s="14"/>
      <c r="Q67" s="15"/>
      <c r="R67" s="15"/>
      <c r="S67" s="15"/>
      <c r="T67" s="15"/>
      <c r="U67" s="15"/>
      <c r="V67" s="15"/>
      <c r="W67" s="15"/>
      <c r="X67" s="15"/>
      <c r="Y67" s="15"/>
      <c r="Z67" s="15"/>
      <c r="AA67" s="15"/>
      <c r="AB67" s="15"/>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t="s">
        <v>23</v>
      </c>
      <c r="BN67" t="s">
        <v>88</v>
      </c>
      <c r="BO67" t="s">
        <v>50</v>
      </c>
      <c r="BS67">
        <f>IF(Dashboard!$Q$3&lt;59,0,MATCH(59,$E$386:$BL$386,0))</f>
        <v>0</v>
      </c>
      <c r="BT67" s="2" t="str">
        <f>IF(BS67=0,"",IF(OR(Dashboard!$Q$3&lt;=12,MOD(58,IF(Dashboard!$Q$3&lt;=24,2,IF(Dashboard!$Q$3&lt;=36,3,6)))=0,Dashboard!$Q$3=59),TEXT(INDEX($E$10:$BL$10,1,BS67),"mmm yy"),""))</f>
        <v/>
      </c>
      <c r="BU67" s="2" t="str">
        <f t="shared" si="3"/>
        <v/>
      </c>
      <c r="BV67" s="72">
        <f>IF(Dashboard!$Q$3=0,$E$10,INDEX($E$10:$BL$10,1,IF(BS67=0,Dashboard!$Q$2,BS67)))</f>
        <v>46296</v>
      </c>
      <c r="BW67" t="str">
        <f>IF(Dashboard!$Q$3=0,"",INDEX($E$326:$BL$326,1,IF(BS67=0,Dashboard!$Q$2,BS67)))</f>
        <v/>
      </c>
    </row>
    <row r="68" spans="2:75" ht="23" customHeight="1" x14ac:dyDescent="0.35">
      <c r="B68" s="20" t="s">
        <v>95</v>
      </c>
      <c r="C68" s="21" t="s">
        <v>15</v>
      </c>
      <c r="D68" s="22"/>
      <c r="E68" s="14"/>
      <c r="F68" s="14"/>
      <c r="G68" s="14"/>
      <c r="H68" s="14"/>
      <c r="I68" s="14"/>
      <c r="J68" s="14"/>
      <c r="K68" s="14"/>
      <c r="L68" s="14"/>
      <c r="M68" s="14"/>
      <c r="N68" s="14"/>
      <c r="O68" s="14"/>
      <c r="P68" s="14"/>
      <c r="Q68" s="15"/>
      <c r="R68" s="15"/>
      <c r="S68" s="15"/>
      <c r="T68" s="15"/>
      <c r="U68" s="15"/>
      <c r="V68" s="15"/>
      <c r="W68" s="15"/>
      <c r="X68" s="15"/>
      <c r="Y68" s="15"/>
      <c r="Z68" s="15"/>
      <c r="AA68" s="15"/>
      <c r="AB68" s="15"/>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t="s">
        <v>23</v>
      </c>
      <c r="BN68" t="s">
        <v>88</v>
      </c>
      <c r="BO68" t="s">
        <v>50</v>
      </c>
      <c r="BS68">
        <f>IF(Dashboard!$Q$3&lt;60,0,MATCH(60,$E$386:$BL$386,0))</f>
        <v>0</v>
      </c>
      <c r="BT68" s="2" t="str">
        <f>IF(BS68=0,"",IF(OR(Dashboard!$Q$3&lt;=12,MOD(59,IF(Dashboard!$Q$3&lt;=24,2,IF(Dashboard!$Q$3&lt;=36,3,6)))=0,Dashboard!$Q$3=60),TEXT(INDEX($E$10:$BL$10,1,BS68),"mmm yy"),""))</f>
        <v/>
      </c>
      <c r="BU68" s="2" t="str">
        <f t="shared" si="3"/>
        <v/>
      </c>
      <c r="BV68" s="72">
        <f>IF(Dashboard!$Q$3=0,$E$10,INDEX($E$10:$BL$10,1,IF(BS68=0,Dashboard!$Q$2,BS68)))</f>
        <v>46296</v>
      </c>
      <c r="BW68" t="str">
        <f>IF(Dashboard!$Q$3=0,"",INDEX($E$326:$BL$326,1,IF(BS68=0,Dashboard!$Q$2,BS68)))</f>
        <v/>
      </c>
    </row>
    <row r="69" spans="2:75" ht="23" customHeight="1" x14ac:dyDescent="0.35">
      <c r="B69" s="20" t="s">
        <v>96</v>
      </c>
      <c r="C69" s="21" t="s">
        <v>15</v>
      </c>
      <c r="D69" s="22"/>
      <c r="E69" s="14"/>
      <c r="F69" s="14"/>
      <c r="G69" s="14"/>
      <c r="H69" s="14"/>
      <c r="I69" s="14"/>
      <c r="J69" s="14"/>
      <c r="K69" s="14"/>
      <c r="L69" s="14"/>
      <c r="M69" s="14"/>
      <c r="N69" s="14"/>
      <c r="O69" s="14"/>
      <c r="P69" s="14"/>
      <c r="Q69" s="15"/>
      <c r="R69" s="15"/>
      <c r="S69" s="15"/>
      <c r="T69" s="15"/>
      <c r="U69" s="15"/>
      <c r="V69" s="15"/>
      <c r="W69" s="15"/>
      <c r="X69" s="15"/>
      <c r="Y69" s="15"/>
      <c r="Z69" s="15"/>
      <c r="AA69" s="15"/>
      <c r="AB69" s="15"/>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t="s">
        <v>23</v>
      </c>
      <c r="BN69" t="s">
        <v>88</v>
      </c>
      <c r="BO69" t="s">
        <v>50</v>
      </c>
    </row>
    <row r="70" spans="2:75" ht="23" customHeight="1" x14ac:dyDescent="0.35">
      <c r="B70" s="20" t="s">
        <v>97</v>
      </c>
      <c r="C70" s="21" t="s">
        <v>15</v>
      </c>
      <c r="D70" s="22"/>
      <c r="E70" s="14"/>
      <c r="F70" s="14"/>
      <c r="G70" s="14"/>
      <c r="H70" s="14"/>
      <c r="I70" s="14"/>
      <c r="J70" s="14"/>
      <c r="K70" s="14"/>
      <c r="L70" s="14"/>
      <c r="M70" s="14"/>
      <c r="N70" s="14"/>
      <c r="O70" s="14"/>
      <c r="P70" s="14"/>
      <c r="Q70" s="15"/>
      <c r="R70" s="15"/>
      <c r="S70" s="15"/>
      <c r="T70" s="15"/>
      <c r="U70" s="15"/>
      <c r="V70" s="15"/>
      <c r="W70" s="15"/>
      <c r="X70" s="15"/>
      <c r="Y70" s="15"/>
      <c r="Z70" s="15"/>
      <c r="AA70" s="15"/>
      <c r="AB70" s="15"/>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t="s">
        <v>23</v>
      </c>
      <c r="BN70" t="s">
        <v>88</v>
      </c>
      <c r="BO70" t="s">
        <v>50</v>
      </c>
    </row>
    <row r="71" spans="2:75" ht="23" customHeight="1" x14ac:dyDescent="0.35">
      <c r="B71" s="20" t="s">
        <v>98</v>
      </c>
      <c r="C71" s="21" t="s">
        <v>15</v>
      </c>
      <c r="D71" s="22"/>
      <c r="E71" s="14"/>
      <c r="F71" s="14"/>
      <c r="G71" s="14"/>
      <c r="H71" s="14"/>
      <c r="I71" s="14"/>
      <c r="J71" s="14"/>
      <c r="K71" s="14"/>
      <c r="L71" s="14"/>
      <c r="M71" s="14"/>
      <c r="N71" s="14"/>
      <c r="O71" s="14"/>
      <c r="P71" s="14"/>
      <c r="Q71" s="15"/>
      <c r="R71" s="15"/>
      <c r="S71" s="15"/>
      <c r="T71" s="15"/>
      <c r="U71" s="15"/>
      <c r="V71" s="15"/>
      <c r="W71" s="15"/>
      <c r="X71" s="15"/>
      <c r="Y71" s="15"/>
      <c r="Z71" s="15"/>
      <c r="AA71" s="15"/>
      <c r="AB71" s="15"/>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t="s">
        <v>23</v>
      </c>
      <c r="BN71" t="s">
        <v>88</v>
      </c>
      <c r="BO71" t="s">
        <v>50</v>
      </c>
    </row>
    <row r="72" spans="2:75" ht="8" customHeight="1" x14ac:dyDescent="0.35">
      <c r="B72" s="10"/>
      <c r="C72" s="9"/>
      <c r="D72" s="9"/>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row>
    <row r="73" spans="2:75" ht="27" customHeight="1" x14ac:dyDescent="0.35">
      <c r="B73" s="96" t="s">
        <v>99</v>
      </c>
      <c r="C73" s="97"/>
      <c r="D73" s="97"/>
      <c r="E73" s="97"/>
      <c r="F73" s="97"/>
      <c r="G73" s="97"/>
      <c r="H73" s="97"/>
      <c r="I73" s="97"/>
      <c r="J73" s="97"/>
      <c r="K73" s="97"/>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c r="BF73" s="97"/>
      <c r="BG73" s="97"/>
      <c r="BH73" s="97"/>
      <c r="BI73" s="97"/>
      <c r="BJ73" s="97"/>
      <c r="BK73" s="97"/>
      <c r="BL73" s="97"/>
    </row>
    <row r="74" spans="2:75" ht="23" customHeight="1" x14ac:dyDescent="0.35">
      <c r="B74" s="20" t="s">
        <v>100</v>
      </c>
      <c r="C74" s="21" t="s">
        <v>15</v>
      </c>
      <c r="D74" s="70"/>
      <c r="E74" s="14"/>
      <c r="F74" s="14"/>
      <c r="G74" s="14"/>
      <c r="H74" s="14"/>
      <c r="I74" s="14"/>
      <c r="J74" s="14"/>
      <c r="K74" s="14"/>
      <c r="L74" s="14"/>
      <c r="M74" s="14"/>
      <c r="N74" s="14"/>
      <c r="O74" s="14"/>
      <c r="P74" s="14"/>
      <c r="Q74" s="15"/>
      <c r="R74" s="15"/>
      <c r="S74" s="15"/>
      <c r="T74" s="15"/>
      <c r="U74" s="15"/>
      <c r="V74" s="15"/>
      <c r="W74" s="15"/>
      <c r="X74" s="15"/>
      <c r="Y74" s="15"/>
      <c r="Z74" s="15"/>
      <c r="AA74" s="15"/>
      <c r="AB74" s="15"/>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t="s">
        <v>60</v>
      </c>
      <c r="BN74" t="s">
        <v>60</v>
      </c>
      <c r="BO74" t="s">
        <v>46</v>
      </c>
      <c r="BP74" t="s">
        <v>76</v>
      </c>
    </row>
    <row r="75" spans="2:75" ht="23" customHeight="1" x14ac:dyDescent="0.35">
      <c r="B75" s="20" t="s">
        <v>101</v>
      </c>
      <c r="C75" s="21" t="s">
        <v>15</v>
      </c>
      <c r="D75" s="70"/>
      <c r="E75" s="14"/>
      <c r="F75" s="14"/>
      <c r="G75" s="14"/>
      <c r="H75" s="14"/>
      <c r="I75" s="14"/>
      <c r="J75" s="14"/>
      <c r="K75" s="14"/>
      <c r="L75" s="14"/>
      <c r="M75" s="14"/>
      <c r="N75" s="14"/>
      <c r="O75" s="14"/>
      <c r="P75" s="14"/>
      <c r="Q75" s="15"/>
      <c r="R75" s="15"/>
      <c r="S75" s="15"/>
      <c r="T75" s="15"/>
      <c r="U75" s="15"/>
      <c r="V75" s="15"/>
      <c r="W75" s="15"/>
      <c r="X75" s="15"/>
      <c r="Y75" s="15"/>
      <c r="Z75" s="15"/>
      <c r="AA75" s="15"/>
      <c r="AB75" s="15"/>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t="s">
        <v>60</v>
      </c>
      <c r="BN75" t="s">
        <v>60</v>
      </c>
      <c r="BO75" t="s">
        <v>46</v>
      </c>
      <c r="BP75" t="s">
        <v>76</v>
      </c>
    </row>
    <row r="76" spans="2:75" ht="23" customHeight="1" x14ac:dyDescent="0.35">
      <c r="B76" s="20" t="s">
        <v>102</v>
      </c>
      <c r="C76" s="21" t="s">
        <v>15</v>
      </c>
      <c r="D76" s="70"/>
      <c r="E76" s="14"/>
      <c r="F76" s="14"/>
      <c r="G76" s="14"/>
      <c r="H76" s="14"/>
      <c r="I76" s="14"/>
      <c r="J76" s="14"/>
      <c r="K76" s="14"/>
      <c r="L76" s="14"/>
      <c r="M76" s="14"/>
      <c r="N76" s="14"/>
      <c r="O76" s="14"/>
      <c r="P76" s="14"/>
      <c r="Q76" s="15"/>
      <c r="R76" s="15"/>
      <c r="S76" s="15"/>
      <c r="T76" s="15"/>
      <c r="U76" s="15"/>
      <c r="V76" s="15"/>
      <c r="W76" s="15"/>
      <c r="X76" s="15"/>
      <c r="Y76" s="15"/>
      <c r="Z76" s="15"/>
      <c r="AA76" s="15"/>
      <c r="AB76" s="15"/>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t="s">
        <v>60</v>
      </c>
      <c r="BN76" t="s">
        <v>60</v>
      </c>
      <c r="BO76" t="s">
        <v>46</v>
      </c>
      <c r="BP76" t="s">
        <v>76</v>
      </c>
    </row>
    <row r="77" spans="2:75" ht="23" customHeight="1" x14ac:dyDescent="0.35">
      <c r="B77" s="20" t="s">
        <v>103</v>
      </c>
      <c r="C77" s="21" t="s">
        <v>15</v>
      </c>
      <c r="D77" s="70"/>
      <c r="E77" s="14"/>
      <c r="F77" s="14"/>
      <c r="G77" s="14"/>
      <c r="H77" s="14"/>
      <c r="I77" s="14"/>
      <c r="J77" s="14"/>
      <c r="K77" s="14"/>
      <c r="L77" s="14"/>
      <c r="M77" s="14"/>
      <c r="N77" s="14"/>
      <c r="O77" s="14"/>
      <c r="P77" s="14"/>
      <c r="Q77" s="15"/>
      <c r="R77" s="15"/>
      <c r="S77" s="15"/>
      <c r="T77" s="15"/>
      <c r="U77" s="15"/>
      <c r="V77" s="15"/>
      <c r="W77" s="15"/>
      <c r="X77" s="15"/>
      <c r="Y77" s="15"/>
      <c r="Z77" s="15"/>
      <c r="AA77" s="15"/>
      <c r="AB77" s="15"/>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t="s">
        <v>60</v>
      </c>
      <c r="BN77" t="s">
        <v>60</v>
      </c>
      <c r="BO77" t="s">
        <v>46</v>
      </c>
      <c r="BP77" t="s">
        <v>76</v>
      </c>
    </row>
    <row r="78" spans="2:75" ht="23" customHeight="1" x14ac:dyDescent="0.35">
      <c r="B78" s="20" t="s">
        <v>104</v>
      </c>
      <c r="C78" s="21" t="s">
        <v>15</v>
      </c>
      <c r="D78" s="70"/>
      <c r="E78" s="14"/>
      <c r="F78" s="14"/>
      <c r="G78" s="14"/>
      <c r="H78" s="14"/>
      <c r="I78" s="14"/>
      <c r="J78" s="14"/>
      <c r="K78" s="14"/>
      <c r="L78" s="14"/>
      <c r="M78" s="14"/>
      <c r="N78" s="14"/>
      <c r="O78" s="14"/>
      <c r="P78" s="14"/>
      <c r="Q78" s="15"/>
      <c r="R78" s="15"/>
      <c r="S78" s="15"/>
      <c r="T78" s="15"/>
      <c r="U78" s="15"/>
      <c r="V78" s="15"/>
      <c r="W78" s="15"/>
      <c r="X78" s="15"/>
      <c r="Y78" s="15"/>
      <c r="Z78" s="15"/>
      <c r="AA78" s="15"/>
      <c r="AB78" s="15"/>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t="s">
        <v>60</v>
      </c>
      <c r="BN78" t="s">
        <v>60</v>
      </c>
      <c r="BO78" t="s">
        <v>46</v>
      </c>
      <c r="BP78" t="s">
        <v>76</v>
      </c>
    </row>
    <row r="79" spans="2:75" ht="23" customHeight="1" x14ac:dyDescent="0.35">
      <c r="B79" s="20" t="s">
        <v>105</v>
      </c>
      <c r="C79" s="21" t="s">
        <v>15</v>
      </c>
      <c r="D79" s="70"/>
      <c r="E79" s="14"/>
      <c r="F79" s="14"/>
      <c r="G79" s="14"/>
      <c r="H79" s="14"/>
      <c r="I79" s="14"/>
      <c r="J79" s="14"/>
      <c r="K79" s="14"/>
      <c r="L79" s="14"/>
      <c r="M79" s="14"/>
      <c r="N79" s="14"/>
      <c r="O79" s="14"/>
      <c r="P79" s="14"/>
      <c r="Q79" s="15"/>
      <c r="R79" s="15"/>
      <c r="S79" s="15"/>
      <c r="T79" s="15"/>
      <c r="U79" s="15"/>
      <c r="V79" s="15"/>
      <c r="W79" s="15"/>
      <c r="X79" s="15"/>
      <c r="Y79" s="15"/>
      <c r="Z79" s="15"/>
      <c r="AA79" s="15"/>
      <c r="AB79" s="15"/>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t="s">
        <v>60</v>
      </c>
      <c r="BN79" t="s">
        <v>60</v>
      </c>
      <c r="BO79" t="s">
        <v>46</v>
      </c>
      <c r="BP79" t="s">
        <v>76</v>
      </c>
    </row>
    <row r="80" spans="2:75" ht="23" customHeight="1" x14ac:dyDescent="0.35">
      <c r="B80" s="20" t="s">
        <v>106</v>
      </c>
      <c r="C80" s="21" t="s">
        <v>15</v>
      </c>
      <c r="D80" s="70"/>
      <c r="E80" s="14"/>
      <c r="F80" s="14"/>
      <c r="G80" s="14"/>
      <c r="H80" s="14"/>
      <c r="I80" s="14"/>
      <c r="J80" s="14"/>
      <c r="K80" s="14"/>
      <c r="L80" s="14"/>
      <c r="M80" s="14"/>
      <c r="N80" s="14"/>
      <c r="O80" s="14"/>
      <c r="P80" s="14"/>
      <c r="Q80" s="15"/>
      <c r="R80" s="15"/>
      <c r="S80" s="15"/>
      <c r="T80" s="15"/>
      <c r="U80" s="15"/>
      <c r="V80" s="15"/>
      <c r="W80" s="15"/>
      <c r="X80" s="15"/>
      <c r="Y80" s="15"/>
      <c r="Z80" s="15"/>
      <c r="AA80" s="15"/>
      <c r="AB80" s="15"/>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t="s">
        <v>60</v>
      </c>
      <c r="BN80" t="s">
        <v>60</v>
      </c>
      <c r="BO80" t="s">
        <v>46</v>
      </c>
      <c r="BP80" t="s">
        <v>76</v>
      </c>
    </row>
    <row r="81" spans="2:70" ht="23" customHeight="1" x14ac:dyDescent="0.35">
      <c r="B81" s="20" t="s">
        <v>107</v>
      </c>
      <c r="C81" s="21" t="s">
        <v>15</v>
      </c>
      <c r="D81" s="70"/>
      <c r="E81" s="14"/>
      <c r="F81" s="14"/>
      <c r="G81" s="14"/>
      <c r="H81" s="14"/>
      <c r="I81" s="14"/>
      <c r="J81" s="14"/>
      <c r="K81" s="14"/>
      <c r="L81" s="14"/>
      <c r="M81" s="14"/>
      <c r="N81" s="14"/>
      <c r="O81" s="14"/>
      <c r="P81" s="14"/>
      <c r="Q81" s="15"/>
      <c r="R81" s="15"/>
      <c r="S81" s="15"/>
      <c r="T81" s="15"/>
      <c r="U81" s="15"/>
      <c r="V81" s="15"/>
      <c r="W81" s="15"/>
      <c r="X81" s="15"/>
      <c r="Y81" s="15"/>
      <c r="Z81" s="15"/>
      <c r="AA81" s="15"/>
      <c r="AB81" s="15"/>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t="s">
        <v>60</v>
      </c>
      <c r="BN81" t="s">
        <v>60</v>
      </c>
      <c r="BO81" t="s">
        <v>46</v>
      </c>
      <c r="BP81" t="s">
        <v>76</v>
      </c>
    </row>
    <row r="82" spans="2:70" ht="9" customHeight="1" x14ac:dyDescent="0.35">
      <c r="B82" s="10"/>
      <c r="C82" s="9"/>
      <c r="D82" s="9"/>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row>
    <row r="83" spans="2:70" ht="28" customHeight="1" x14ac:dyDescent="0.35">
      <c r="B83" s="93" t="s">
        <v>108</v>
      </c>
      <c r="C83" s="73"/>
      <c r="D83" s="73"/>
      <c r="E83" s="73"/>
      <c r="F83" s="73"/>
      <c r="G83" s="73"/>
      <c r="H83" s="73"/>
      <c r="I83" s="73"/>
      <c r="J83" s="73"/>
      <c r="K83" s="73"/>
      <c r="L83" s="73"/>
      <c r="M83" s="73"/>
      <c r="N83" s="73"/>
    </row>
    <row r="84" spans="2:70" x14ac:dyDescent="0.35">
      <c r="B84" s="10"/>
      <c r="C84" s="9"/>
      <c r="D84" s="9"/>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row>
    <row r="85" spans="2:70" ht="24" customHeight="1" x14ac:dyDescent="0.35">
      <c r="B85" s="102" t="s">
        <v>109</v>
      </c>
      <c r="C85" s="103"/>
      <c r="D85" s="103"/>
      <c r="E85" s="103"/>
      <c r="F85" s="103"/>
      <c r="G85" s="103"/>
      <c r="H85" s="103"/>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103"/>
      <c r="AQ85" s="103"/>
      <c r="AR85" s="103"/>
      <c r="AS85" s="103"/>
      <c r="AT85" s="103"/>
      <c r="AU85" s="103"/>
      <c r="AV85" s="103"/>
      <c r="AW85" s="103"/>
      <c r="AX85" s="103"/>
      <c r="AY85" s="103"/>
      <c r="AZ85" s="103"/>
      <c r="BA85" s="103"/>
      <c r="BB85" s="103"/>
      <c r="BC85" s="103"/>
      <c r="BD85" s="103"/>
      <c r="BE85" s="103"/>
      <c r="BF85" s="103"/>
      <c r="BG85" s="103"/>
      <c r="BH85" s="103"/>
      <c r="BI85" s="103"/>
      <c r="BJ85" s="103"/>
      <c r="BK85" s="103"/>
      <c r="BL85" s="104"/>
      <c r="BQ85" t="s">
        <v>25</v>
      </c>
      <c r="BR85" t="str">
        <f>IF(Dashboard!$Q$2=0,"",INDEX($E$327:$BL$327,1,Dashboard!$Q$2))</f>
        <v/>
      </c>
    </row>
    <row r="86" spans="2:70" ht="23" customHeight="1" x14ac:dyDescent="0.35">
      <c r="B86" s="94" t="s">
        <v>110</v>
      </c>
      <c r="C86" s="95"/>
      <c r="D86" s="95"/>
      <c r="E86" s="71" t="str">
        <f t="shared" ref="E86:AJ86" si="4">IF(E323=0,"",IF(OR(E388&gt;0,E388&gt;0),"Check inputs",E332))</f>
        <v/>
      </c>
      <c r="F86" s="71" t="str">
        <f t="shared" si="4"/>
        <v/>
      </c>
      <c r="G86" s="71" t="str">
        <f t="shared" si="4"/>
        <v/>
      </c>
      <c r="H86" s="71" t="str">
        <f t="shared" si="4"/>
        <v/>
      </c>
      <c r="I86" s="71" t="str">
        <f t="shared" si="4"/>
        <v/>
      </c>
      <c r="J86" s="71" t="str">
        <f t="shared" si="4"/>
        <v/>
      </c>
      <c r="K86" s="71" t="str">
        <f t="shared" si="4"/>
        <v/>
      </c>
      <c r="L86" s="71" t="str">
        <f t="shared" si="4"/>
        <v/>
      </c>
      <c r="M86" s="71" t="str">
        <f t="shared" si="4"/>
        <v/>
      </c>
      <c r="N86" s="71" t="str">
        <f t="shared" si="4"/>
        <v/>
      </c>
      <c r="O86" s="71" t="str">
        <f t="shared" si="4"/>
        <v/>
      </c>
      <c r="P86" s="71" t="str">
        <f t="shared" si="4"/>
        <v/>
      </c>
      <c r="Q86" s="71" t="str">
        <f t="shared" si="4"/>
        <v/>
      </c>
      <c r="R86" s="71" t="str">
        <f t="shared" si="4"/>
        <v/>
      </c>
      <c r="S86" s="71" t="str">
        <f t="shared" si="4"/>
        <v/>
      </c>
      <c r="T86" s="71" t="str">
        <f t="shared" si="4"/>
        <v/>
      </c>
      <c r="U86" s="71" t="str">
        <f t="shared" si="4"/>
        <v/>
      </c>
      <c r="V86" s="71" t="str">
        <f t="shared" si="4"/>
        <v/>
      </c>
      <c r="W86" s="71" t="str">
        <f t="shared" si="4"/>
        <v/>
      </c>
      <c r="X86" s="71" t="str">
        <f t="shared" si="4"/>
        <v/>
      </c>
      <c r="Y86" s="71" t="str">
        <f t="shared" si="4"/>
        <v/>
      </c>
      <c r="Z86" s="71" t="str">
        <f t="shared" si="4"/>
        <v/>
      </c>
      <c r="AA86" s="71" t="str">
        <f t="shared" si="4"/>
        <v/>
      </c>
      <c r="AB86" s="71" t="str">
        <f t="shared" si="4"/>
        <v/>
      </c>
      <c r="AC86" s="71" t="str">
        <f t="shared" si="4"/>
        <v/>
      </c>
      <c r="AD86" s="71" t="str">
        <f t="shared" si="4"/>
        <v/>
      </c>
      <c r="AE86" s="71" t="str">
        <f t="shared" si="4"/>
        <v/>
      </c>
      <c r="AF86" s="71" t="str">
        <f t="shared" si="4"/>
        <v/>
      </c>
      <c r="AG86" s="71" t="str">
        <f t="shared" si="4"/>
        <v/>
      </c>
      <c r="AH86" s="71" t="str">
        <f t="shared" si="4"/>
        <v/>
      </c>
      <c r="AI86" s="71" t="str">
        <f t="shared" si="4"/>
        <v/>
      </c>
      <c r="AJ86" s="71" t="str">
        <f t="shared" si="4"/>
        <v/>
      </c>
      <c r="AK86" s="71" t="str">
        <f t="shared" ref="AK86:BL86" si="5">IF(AK323=0,"",IF(OR(AK388&gt;0,AK388&gt;0),"Check inputs",AK332))</f>
        <v/>
      </c>
      <c r="AL86" s="71" t="str">
        <f t="shared" si="5"/>
        <v/>
      </c>
      <c r="AM86" s="71" t="str">
        <f t="shared" si="5"/>
        <v/>
      </c>
      <c r="AN86" s="71" t="str">
        <f t="shared" si="5"/>
        <v/>
      </c>
      <c r="AO86" s="71" t="str">
        <f t="shared" si="5"/>
        <v/>
      </c>
      <c r="AP86" s="71" t="str">
        <f t="shared" si="5"/>
        <v/>
      </c>
      <c r="AQ86" s="71" t="str">
        <f t="shared" si="5"/>
        <v/>
      </c>
      <c r="AR86" s="71" t="str">
        <f t="shared" si="5"/>
        <v/>
      </c>
      <c r="AS86" s="71" t="str">
        <f t="shared" si="5"/>
        <v/>
      </c>
      <c r="AT86" s="71" t="str">
        <f t="shared" si="5"/>
        <v/>
      </c>
      <c r="AU86" s="71" t="str">
        <f t="shared" si="5"/>
        <v/>
      </c>
      <c r="AV86" s="71" t="str">
        <f t="shared" si="5"/>
        <v/>
      </c>
      <c r="AW86" s="71" t="str">
        <f t="shared" si="5"/>
        <v/>
      </c>
      <c r="AX86" s="71" t="str">
        <f t="shared" si="5"/>
        <v/>
      </c>
      <c r="AY86" s="71" t="str">
        <f t="shared" si="5"/>
        <v/>
      </c>
      <c r="AZ86" s="71" t="str">
        <f t="shared" si="5"/>
        <v/>
      </c>
      <c r="BA86" s="71" t="str">
        <f t="shared" si="5"/>
        <v/>
      </c>
      <c r="BB86" s="71" t="str">
        <f t="shared" si="5"/>
        <v/>
      </c>
      <c r="BC86" s="71" t="str">
        <f t="shared" si="5"/>
        <v/>
      </c>
      <c r="BD86" s="71" t="str">
        <f t="shared" si="5"/>
        <v/>
      </c>
      <c r="BE86" s="71" t="str">
        <f t="shared" si="5"/>
        <v/>
      </c>
      <c r="BF86" s="71" t="str">
        <f t="shared" si="5"/>
        <v/>
      </c>
      <c r="BG86" s="71" t="str">
        <f t="shared" si="5"/>
        <v/>
      </c>
      <c r="BH86" s="71" t="str">
        <f t="shared" si="5"/>
        <v/>
      </c>
      <c r="BI86" s="71" t="str">
        <f t="shared" si="5"/>
        <v/>
      </c>
      <c r="BJ86" s="71" t="str">
        <f t="shared" si="5"/>
        <v/>
      </c>
      <c r="BK86" s="71" t="str">
        <f t="shared" si="5"/>
        <v/>
      </c>
      <c r="BL86" s="71" t="str">
        <f t="shared" si="5"/>
        <v/>
      </c>
      <c r="BQ86" t="s">
        <v>34</v>
      </c>
      <c r="BR86" t="str">
        <f>IF(Dashboard!$Q$2=0,"",INDEX($E$328:$BL$328,1,Dashboard!$Q$2))</f>
        <v/>
      </c>
    </row>
    <row r="87" spans="2:70" ht="23" customHeight="1" x14ac:dyDescent="0.35">
      <c r="B87" s="94" t="s">
        <v>111</v>
      </c>
      <c r="C87" s="95"/>
      <c r="D87" s="95"/>
      <c r="E87" s="71" t="str">
        <f t="shared" ref="E87:AJ87" si="6">IF(E323=0,"",IF(OR(E388&gt;0,E389&gt;0),"Check inputs",E333))</f>
        <v/>
      </c>
      <c r="F87" s="71" t="str">
        <f t="shared" si="6"/>
        <v/>
      </c>
      <c r="G87" s="71" t="str">
        <f t="shared" si="6"/>
        <v/>
      </c>
      <c r="H87" s="71" t="str">
        <f t="shared" si="6"/>
        <v/>
      </c>
      <c r="I87" s="71" t="str">
        <f t="shared" si="6"/>
        <v/>
      </c>
      <c r="J87" s="71" t="str">
        <f t="shared" si="6"/>
        <v/>
      </c>
      <c r="K87" s="71" t="str">
        <f t="shared" si="6"/>
        <v/>
      </c>
      <c r="L87" s="71" t="str">
        <f t="shared" si="6"/>
        <v/>
      </c>
      <c r="M87" s="71" t="str">
        <f t="shared" si="6"/>
        <v/>
      </c>
      <c r="N87" s="71" t="str">
        <f t="shared" si="6"/>
        <v/>
      </c>
      <c r="O87" s="71" t="str">
        <f t="shared" si="6"/>
        <v/>
      </c>
      <c r="P87" s="71" t="str">
        <f t="shared" si="6"/>
        <v/>
      </c>
      <c r="Q87" s="71" t="str">
        <f t="shared" si="6"/>
        <v/>
      </c>
      <c r="R87" s="71" t="str">
        <f t="shared" si="6"/>
        <v/>
      </c>
      <c r="S87" s="71" t="str">
        <f t="shared" si="6"/>
        <v/>
      </c>
      <c r="T87" s="71" t="str">
        <f t="shared" si="6"/>
        <v/>
      </c>
      <c r="U87" s="71" t="str">
        <f t="shared" si="6"/>
        <v/>
      </c>
      <c r="V87" s="71" t="str">
        <f t="shared" si="6"/>
        <v/>
      </c>
      <c r="W87" s="71" t="str">
        <f t="shared" si="6"/>
        <v/>
      </c>
      <c r="X87" s="71" t="str">
        <f t="shared" si="6"/>
        <v/>
      </c>
      <c r="Y87" s="71" t="str">
        <f t="shared" si="6"/>
        <v/>
      </c>
      <c r="Z87" s="71" t="str">
        <f t="shared" si="6"/>
        <v/>
      </c>
      <c r="AA87" s="71" t="str">
        <f t="shared" si="6"/>
        <v/>
      </c>
      <c r="AB87" s="71" t="str">
        <f t="shared" si="6"/>
        <v/>
      </c>
      <c r="AC87" s="71" t="str">
        <f t="shared" si="6"/>
        <v/>
      </c>
      <c r="AD87" s="71" t="str">
        <f t="shared" si="6"/>
        <v/>
      </c>
      <c r="AE87" s="71" t="str">
        <f t="shared" si="6"/>
        <v/>
      </c>
      <c r="AF87" s="71" t="str">
        <f t="shared" si="6"/>
        <v/>
      </c>
      <c r="AG87" s="71" t="str">
        <f t="shared" si="6"/>
        <v/>
      </c>
      <c r="AH87" s="71" t="str">
        <f t="shared" si="6"/>
        <v/>
      </c>
      <c r="AI87" s="71" t="str">
        <f t="shared" si="6"/>
        <v/>
      </c>
      <c r="AJ87" s="71" t="str">
        <f t="shared" si="6"/>
        <v/>
      </c>
      <c r="AK87" s="71" t="str">
        <f t="shared" ref="AK87:BL87" si="7">IF(AK323=0,"",IF(OR(AK388&gt;0,AK389&gt;0),"Check inputs",AK333))</f>
        <v/>
      </c>
      <c r="AL87" s="71" t="str">
        <f t="shared" si="7"/>
        <v/>
      </c>
      <c r="AM87" s="71" t="str">
        <f t="shared" si="7"/>
        <v/>
      </c>
      <c r="AN87" s="71" t="str">
        <f t="shared" si="7"/>
        <v/>
      </c>
      <c r="AO87" s="71" t="str">
        <f t="shared" si="7"/>
        <v/>
      </c>
      <c r="AP87" s="71" t="str">
        <f t="shared" si="7"/>
        <v/>
      </c>
      <c r="AQ87" s="71" t="str">
        <f t="shared" si="7"/>
        <v/>
      </c>
      <c r="AR87" s="71" t="str">
        <f t="shared" si="7"/>
        <v/>
      </c>
      <c r="AS87" s="71" t="str">
        <f t="shared" si="7"/>
        <v/>
      </c>
      <c r="AT87" s="71" t="str">
        <f t="shared" si="7"/>
        <v/>
      </c>
      <c r="AU87" s="71" t="str">
        <f t="shared" si="7"/>
        <v/>
      </c>
      <c r="AV87" s="71" t="str">
        <f t="shared" si="7"/>
        <v/>
      </c>
      <c r="AW87" s="71" t="str">
        <f t="shared" si="7"/>
        <v/>
      </c>
      <c r="AX87" s="71" t="str">
        <f t="shared" si="7"/>
        <v/>
      </c>
      <c r="AY87" s="71" t="str">
        <f t="shared" si="7"/>
        <v/>
      </c>
      <c r="AZ87" s="71" t="str">
        <f t="shared" si="7"/>
        <v/>
      </c>
      <c r="BA87" s="71" t="str">
        <f t="shared" si="7"/>
        <v/>
      </c>
      <c r="BB87" s="71" t="str">
        <f t="shared" si="7"/>
        <v/>
      </c>
      <c r="BC87" s="71" t="str">
        <f t="shared" si="7"/>
        <v/>
      </c>
      <c r="BD87" s="71" t="str">
        <f t="shared" si="7"/>
        <v/>
      </c>
      <c r="BE87" s="71" t="str">
        <f t="shared" si="7"/>
        <v/>
      </c>
      <c r="BF87" s="71" t="str">
        <f t="shared" si="7"/>
        <v/>
      </c>
      <c r="BG87" s="71" t="str">
        <f t="shared" si="7"/>
        <v/>
      </c>
      <c r="BH87" s="71" t="str">
        <f t="shared" si="7"/>
        <v/>
      </c>
      <c r="BI87" s="71" t="str">
        <f t="shared" si="7"/>
        <v/>
      </c>
      <c r="BJ87" s="71" t="str">
        <f t="shared" si="7"/>
        <v/>
      </c>
      <c r="BK87" s="71" t="str">
        <f t="shared" si="7"/>
        <v/>
      </c>
      <c r="BL87" s="71" t="str">
        <f t="shared" si="7"/>
        <v/>
      </c>
      <c r="BQ87" t="s">
        <v>50</v>
      </c>
      <c r="BR87" t="str">
        <f>IF(Dashboard!$Q$2=0,"",INDEX($E$329:$BL$329,1,Dashboard!$Q$2))</f>
        <v/>
      </c>
    </row>
    <row r="88" spans="2:70" ht="28" customHeight="1" x14ac:dyDescent="0.35">
      <c r="B88" s="105" t="s">
        <v>112</v>
      </c>
      <c r="C88" s="103"/>
      <c r="D88" s="103"/>
      <c r="E88" s="103"/>
      <c r="F88" s="103"/>
      <c r="G88" s="103"/>
      <c r="H88" s="103"/>
      <c r="I88" s="103"/>
      <c r="J88" s="103"/>
      <c r="K88" s="103"/>
      <c r="L88" s="103"/>
      <c r="M88" s="103"/>
      <c r="N88" s="104"/>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row>
    <row r="89" spans="2:70" hidden="1" x14ac:dyDescent="0.35">
      <c r="B89" s="10"/>
      <c r="C89" s="9"/>
      <c r="D89" s="9"/>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row>
    <row r="90" spans="2:70" hidden="1" x14ac:dyDescent="0.35">
      <c r="B90" s="10"/>
      <c r="C90" s="9"/>
      <c r="D90" s="9"/>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row>
    <row r="91" spans="2:70" hidden="1" x14ac:dyDescent="0.35">
      <c r="B91" s="10"/>
      <c r="C91" s="9"/>
      <c r="D91" s="9"/>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row>
    <row r="92" spans="2:70" hidden="1" x14ac:dyDescent="0.35">
      <c r="B92" s="10"/>
      <c r="C92" s="9"/>
      <c r="D92" s="9"/>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row>
    <row r="93" spans="2:70" hidden="1" x14ac:dyDescent="0.35">
      <c r="B93" s="10"/>
      <c r="C93" s="9"/>
      <c r="D93" s="9"/>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row>
    <row r="94" spans="2:70" hidden="1" x14ac:dyDescent="0.35">
      <c r="B94" s="10"/>
      <c r="C94" s="9"/>
      <c r="D94" s="9"/>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row>
    <row r="95" spans="2:70" hidden="1" x14ac:dyDescent="0.35">
      <c r="B95" s="10"/>
      <c r="C95" s="9"/>
      <c r="D95" s="9"/>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Q95" t="s">
        <v>61</v>
      </c>
      <c r="BR95" t="str">
        <f>IF(Dashboard!$Q$2=0,"",INDEX($E$343:$BL$343,1,Dashboard!$Q$2))</f>
        <v/>
      </c>
    </row>
    <row r="96" spans="2:70" hidden="1" x14ac:dyDescent="0.35">
      <c r="B96" s="10"/>
      <c r="C96" s="9"/>
      <c r="D96" s="9"/>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Q96" t="s">
        <v>65</v>
      </c>
      <c r="BR96" t="str">
        <f>IF(Dashboard!$Q$2=0,"",INDEX($E$344:$BL$344,1,Dashboard!$Q$2))</f>
        <v/>
      </c>
    </row>
    <row r="97" spans="2:70" hidden="1" x14ac:dyDescent="0.35">
      <c r="B97" s="10"/>
      <c r="C97" s="9"/>
      <c r="D97" s="9"/>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Q97" t="s">
        <v>67</v>
      </c>
      <c r="BR97" t="str">
        <f>IF(Dashboard!$Q$2=0,"",INDEX($E$345:$BL$345,1,Dashboard!$Q$2))</f>
        <v/>
      </c>
    </row>
    <row r="98" spans="2:70" hidden="1" x14ac:dyDescent="0.35">
      <c r="B98" s="10"/>
      <c r="C98" s="9"/>
      <c r="D98" s="9"/>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Q98" t="s">
        <v>70</v>
      </c>
      <c r="BR98" t="str">
        <f>IF(Dashboard!$Q$2=0,"",INDEX($E$346:$BL$346,1,Dashboard!$Q$2))</f>
        <v/>
      </c>
    </row>
    <row r="99" spans="2:70" hidden="1" x14ac:dyDescent="0.35">
      <c r="B99" s="10"/>
      <c r="C99" s="9"/>
      <c r="D99" s="9"/>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Q99" t="s">
        <v>73</v>
      </c>
      <c r="BR99" t="str">
        <f>IF(Dashboard!$Q$2=0,"",INDEX($E$347:$BL$347,1,Dashboard!$Q$2))</f>
        <v/>
      </c>
    </row>
    <row r="100" spans="2:70" hidden="1" x14ac:dyDescent="0.35">
      <c r="B100" s="10"/>
      <c r="C100" s="9"/>
      <c r="D100" s="9"/>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Q100" t="s">
        <v>76</v>
      </c>
      <c r="BR100" t="str">
        <f>IF(Dashboard!$Q$2=0,"",INDEX($E$348:$BL$348,1,Dashboard!$Q$2))</f>
        <v/>
      </c>
    </row>
    <row r="101" spans="2:70" hidden="1" x14ac:dyDescent="0.35">
      <c r="B101" s="10"/>
      <c r="C101" s="9"/>
      <c r="D101" s="9"/>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row>
    <row r="102" spans="2:70" hidden="1" x14ac:dyDescent="0.35">
      <c r="B102" s="10"/>
      <c r="C102" s="9"/>
      <c r="D102" s="9"/>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row>
    <row r="103" spans="2:70" hidden="1" x14ac:dyDescent="0.35">
      <c r="B103" s="10"/>
      <c r="C103" s="9"/>
      <c r="D103" s="9"/>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row>
    <row r="104" spans="2:70" hidden="1" x14ac:dyDescent="0.35">
      <c r="B104" s="10"/>
      <c r="C104" s="9"/>
      <c r="D104" s="9"/>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row>
    <row r="105" spans="2:70" hidden="1" x14ac:dyDescent="0.35">
      <c r="B105" s="10"/>
      <c r="C105" s="9"/>
      <c r="D105" s="9"/>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row>
    <row r="106" spans="2:70" hidden="1" x14ac:dyDescent="0.35">
      <c r="B106" s="10"/>
      <c r="C106" s="9"/>
      <c r="D106" s="9"/>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row>
    <row r="107" spans="2:70" hidden="1" x14ac:dyDescent="0.35">
      <c r="B107" s="10"/>
      <c r="C107" s="9"/>
      <c r="D107" s="9"/>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row>
    <row r="108" spans="2:70" hidden="1" x14ac:dyDescent="0.35">
      <c r="B108" s="10"/>
      <c r="C108" s="9"/>
      <c r="D108" s="9"/>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row>
    <row r="109" spans="2:70" hidden="1" x14ac:dyDescent="0.35">
      <c r="B109" s="10"/>
      <c r="C109" s="9"/>
      <c r="D109" s="9"/>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row>
    <row r="110" spans="2:70" hidden="1" x14ac:dyDescent="0.35">
      <c r="B110" s="10"/>
      <c r="C110" s="9"/>
      <c r="D110" s="9"/>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row>
    <row r="111" spans="2:70" hidden="1" x14ac:dyDescent="0.35">
      <c r="B111" s="10"/>
      <c r="C111" s="9"/>
      <c r="D111" s="9"/>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row>
    <row r="112" spans="2:70" hidden="1" x14ac:dyDescent="0.35">
      <c r="B112" s="10"/>
      <c r="C112" s="9"/>
      <c r="D112" s="9"/>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row>
    <row r="113" spans="2:64" hidden="1" x14ac:dyDescent="0.35">
      <c r="B113" s="10"/>
      <c r="C113" s="9"/>
      <c r="D113" s="9"/>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row>
    <row r="114" spans="2:64" hidden="1" x14ac:dyDescent="0.35">
      <c r="B114" s="10"/>
      <c r="C114" s="9"/>
      <c r="D114" s="9"/>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row>
    <row r="115" spans="2:64" hidden="1" x14ac:dyDescent="0.35">
      <c r="B115" s="10"/>
      <c r="C115" s="9"/>
      <c r="D115" s="9"/>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row>
    <row r="116" spans="2:64" hidden="1" x14ac:dyDescent="0.35">
      <c r="B116" s="10"/>
      <c r="C116" s="9"/>
      <c r="D116" s="9"/>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row>
    <row r="117" spans="2:64" hidden="1" x14ac:dyDescent="0.35">
      <c r="B117" s="10"/>
      <c r="C117" s="9"/>
      <c r="D117" s="9"/>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row>
    <row r="118" spans="2:64" hidden="1" x14ac:dyDescent="0.35">
      <c r="B118" s="10"/>
      <c r="C118" s="9"/>
      <c r="D118" s="9"/>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row>
    <row r="119" spans="2:64" hidden="1" x14ac:dyDescent="0.35">
      <c r="B119" s="10"/>
      <c r="C119" s="9"/>
      <c r="D119" s="9"/>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row>
    <row r="120" spans="2:64" hidden="1" x14ac:dyDescent="0.35">
      <c r="B120" s="10"/>
      <c r="C120" s="9"/>
      <c r="D120" s="9"/>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row>
    <row r="121" spans="2:64" hidden="1" x14ac:dyDescent="0.35">
      <c r="B121" s="10"/>
      <c r="C121" s="9"/>
      <c r="D121" s="9"/>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row>
    <row r="122" spans="2:64" hidden="1" x14ac:dyDescent="0.35">
      <c r="B122" s="10"/>
      <c r="C122" s="9"/>
      <c r="D122" s="9"/>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row>
    <row r="123" spans="2:64" hidden="1" x14ac:dyDescent="0.35">
      <c r="B123" s="10"/>
      <c r="C123" s="9"/>
      <c r="D123" s="9"/>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row>
    <row r="124" spans="2:64" hidden="1" x14ac:dyDescent="0.35">
      <c r="B124" s="10"/>
      <c r="C124" s="9"/>
      <c r="D124" s="9"/>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row>
    <row r="125" spans="2:64" hidden="1" x14ac:dyDescent="0.35">
      <c r="B125" s="10"/>
      <c r="C125" s="9"/>
      <c r="D125" s="9"/>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row>
    <row r="126" spans="2:64" hidden="1" x14ac:dyDescent="0.35">
      <c r="B126" s="10"/>
      <c r="C126" s="9"/>
      <c r="D126" s="9"/>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row>
    <row r="127" spans="2:64" hidden="1" x14ac:dyDescent="0.35">
      <c r="B127" s="10"/>
      <c r="C127" s="9"/>
      <c r="D127" s="9"/>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row>
    <row r="128" spans="2:64" hidden="1" x14ac:dyDescent="0.35">
      <c r="B128" s="10"/>
      <c r="C128" s="9"/>
      <c r="D128" s="9"/>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row>
    <row r="129" spans="2:64" hidden="1" x14ac:dyDescent="0.35">
      <c r="B129" s="10"/>
      <c r="C129" s="9"/>
      <c r="D129" s="9"/>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row>
    <row r="130" spans="2:64" hidden="1" x14ac:dyDescent="0.35">
      <c r="B130" s="10"/>
      <c r="C130" s="9"/>
      <c r="D130" s="9"/>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row>
    <row r="131" spans="2:64" x14ac:dyDescent="0.35">
      <c r="B131" s="10"/>
      <c r="C131" s="9"/>
      <c r="D131" s="9"/>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row>
    <row r="132" spans="2:64" x14ac:dyDescent="0.35">
      <c r="B132" s="10"/>
      <c r="C132" s="9"/>
      <c r="D132" s="9"/>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row>
    <row r="133" spans="2:64" x14ac:dyDescent="0.35">
      <c r="B133" s="10"/>
      <c r="C133" s="9"/>
      <c r="D133" s="9"/>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row>
    <row r="134" spans="2:64" x14ac:dyDescent="0.35">
      <c r="B134" s="10"/>
      <c r="C134" s="9"/>
      <c r="D134" s="9"/>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row>
    <row r="135" spans="2:64" x14ac:dyDescent="0.35">
      <c r="B135" s="10"/>
      <c r="C135" s="9"/>
      <c r="D135" s="9"/>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row>
    <row r="136" spans="2:64" x14ac:dyDescent="0.35">
      <c r="B136" s="10"/>
      <c r="C136" s="9"/>
      <c r="D136" s="9"/>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row>
    <row r="137" spans="2:64" x14ac:dyDescent="0.35">
      <c r="B137" s="10"/>
      <c r="C137" s="9"/>
      <c r="D137" s="9"/>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row>
    <row r="138" spans="2:64" x14ac:dyDescent="0.35">
      <c r="B138" s="10"/>
      <c r="C138" s="9"/>
      <c r="D138" s="9"/>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row>
    <row r="139" spans="2:64" x14ac:dyDescent="0.35">
      <c r="B139" s="10"/>
      <c r="C139" s="9"/>
      <c r="D139" s="9"/>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row>
    <row r="140" spans="2:64" x14ac:dyDescent="0.35">
      <c r="B140" s="10"/>
      <c r="C140" s="9"/>
      <c r="D140" s="9"/>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row>
    <row r="141" spans="2:64" x14ac:dyDescent="0.35">
      <c r="B141" s="10"/>
      <c r="C141" s="9"/>
      <c r="D141" s="9"/>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row>
    <row r="142" spans="2:64" x14ac:dyDescent="0.35">
      <c r="B142" s="10"/>
      <c r="C142" s="9"/>
      <c r="D142" s="9"/>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row>
    <row r="143" spans="2:64" x14ac:dyDescent="0.35">
      <c r="B143" s="10"/>
      <c r="C143" s="9"/>
      <c r="D143" s="9"/>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row>
    <row r="144" spans="2:64" x14ac:dyDescent="0.35">
      <c r="B144" s="10"/>
      <c r="C144" s="9"/>
      <c r="D144" s="9"/>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row>
    <row r="145" spans="2:64" x14ac:dyDescent="0.35">
      <c r="B145" s="10"/>
      <c r="C145" s="9"/>
      <c r="D145" s="9"/>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row>
    <row r="146" spans="2:64" x14ac:dyDescent="0.35">
      <c r="B146" s="10"/>
      <c r="C146" s="9"/>
      <c r="D146" s="9"/>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row>
    <row r="147" spans="2:64" x14ac:dyDescent="0.35">
      <c r="B147" s="10"/>
      <c r="C147" s="9"/>
      <c r="D147" s="9"/>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row>
    <row r="148" spans="2:64" x14ac:dyDescent="0.35">
      <c r="B148" s="10"/>
      <c r="C148" s="9"/>
      <c r="D148" s="9"/>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row>
    <row r="149" spans="2:64" x14ac:dyDescent="0.35">
      <c r="B149" s="10"/>
      <c r="C149" s="9"/>
      <c r="D149" s="9"/>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row>
    <row r="150" spans="2:64" x14ac:dyDescent="0.35">
      <c r="B150" s="10"/>
      <c r="C150" s="9"/>
      <c r="D150" s="9"/>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row>
    <row r="151" spans="2:64" x14ac:dyDescent="0.35">
      <c r="B151" s="10"/>
      <c r="C151" s="9"/>
      <c r="D151" s="9"/>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row>
    <row r="152" spans="2:64" x14ac:dyDescent="0.35">
      <c r="B152" s="10"/>
      <c r="C152" s="9"/>
      <c r="D152" s="9"/>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row>
    <row r="153" spans="2:64" x14ac:dyDescent="0.35">
      <c r="B153" s="10"/>
      <c r="C153" s="9"/>
      <c r="D153" s="9"/>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row>
    <row r="154" spans="2:64" x14ac:dyDescent="0.35">
      <c r="B154" s="10"/>
      <c r="C154" s="9"/>
      <c r="D154" s="9"/>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row>
    <row r="155" spans="2:64" x14ac:dyDescent="0.35">
      <c r="B155" s="10"/>
      <c r="C155" s="9"/>
      <c r="D155" s="9"/>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row>
    <row r="156" spans="2:64" x14ac:dyDescent="0.35">
      <c r="B156" s="10"/>
      <c r="C156" s="9"/>
      <c r="D156" s="9"/>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row>
    <row r="157" spans="2:64" x14ac:dyDescent="0.35">
      <c r="B157" s="10"/>
      <c r="C157" s="9"/>
      <c r="D157" s="9"/>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row>
    <row r="158" spans="2:64" x14ac:dyDescent="0.35">
      <c r="B158" s="10"/>
      <c r="C158" s="9"/>
      <c r="D158" s="9"/>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row>
    <row r="159" spans="2:64" x14ac:dyDescent="0.35">
      <c r="B159" s="10"/>
      <c r="C159" s="9"/>
      <c r="D159" s="9"/>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row>
    <row r="160" spans="2:64" x14ac:dyDescent="0.35">
      <c r="B160" s="10"/>
      <c r="C160" s="9"/>
      <c r="D160" s="9"/>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row>
    <row r="161" spans="2:64" x14ac:dyDescent="0.35">
      <c r="B161" s="10"/>
      <c r="C161" s="9"/>
      <c r="D161" s="9"/>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row>
    <row r="162" spans="2:64" x14ac:dyDescent="0.35">
      <c r="B162" s="10"/>
      <c r="C162" s="9"/>
      <c r="D162" s="9"/>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row>
    <row r="163" spans="2:64" x14ac:dyDescent="0.35">
      <c r="B163" s="10"/>
      <c r="C163" s="9"/>
      <c r="D163" s="9"/>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row>
    <row r="164" spans="2:64" x14ac:dyDescent="0.35">
      <c r="B164" s="10"/>
      <c r="C164" s="9"/>
      <c r="D164" s="9"/>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row>
    <row r="165" spans="2:64" x14ac:dyDescent="0.35">
      <c r="B165" s="10"/>
      <c r="C165" s="9"/>
      <c r="D165" s="9"/>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row>
    <row r="166" spans="2:64" x14ac:dyDescent="0.35">
      <c r="B166" s="10"/>
      <c r="C166" s="9"/>
      <c r="D166" s="9"/>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row>
    <row r="167" spans="2:64" x14ac:dyDescent="0.35">
      <c r="B167" s="10"/>
      <c r="C167" s="9"/>
      <c r="D167" s="9"/>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row>
    <row r="168" spans="2:64" x14ac:dyDescent="0.35">
      <c r="B168" s="10"/>
      <c r="C168" s="9"/>
      <c r="D168" s="9"/>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row>
    <row r="169" spans="2:64" x14ac:dyDescent="0.35">
      <c r="B169" s="10"/>
      <c r="C169" s="9"/>
      <c r="D169" s="9"/>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row>
    <row r="170" spans="2:64" x14ac:dyDescent="0.35">
      <c r="B170" s="10"/>
      <c r="C170" s="9"/>
      <c r="D170" s="9"/>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row>
    <row r="171" spans="2:64" x14ac:dyDescent="0.35">
      <c r="B171" s="10"/>
      <c r="C171" s="9"/>
      <c r="D171" s="9"/>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row>
    <row r="172" spans="2:64" x14ac:dyDescent="0.35">
      <c r="B172" s="10"/>
      <c r="C172" s="9"/>
      <c r="D172" s="9"/>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row>
    <row r="173" spans="2:64" x14ac:dyDescent="0.35">
      <c r="B173" s="10"/>
      <c r="C173" s="9"/>
      <c r="D173" s="9"/>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row>
    <row r="174" spans="2:64" x14ac:dyDescent="0.35">
      <c r="B174" s="10"/>
      <c r="C174" s="9"/>
      <c r="D174" s="9"/>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row>
    <row r="175" spans="2:64" x14ac:dyDescent="0.35">
      <c r="B175" s="10"/>
      <c r="C175" s="9"/>
      <c r="D175" s="9"/>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row>
    <row r="176" spans="2:64" x14ac:dyDescent="0.35">
      <c r="B176" s="10"/>
      <c r="C176" s="9"/>
      <c r="D176" s="9"/>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row>
    <row r="177" spans="2:71" x14ac:dyDescent="0.35">
      <c r="B177" s="10"/>
      <c r="C177" s="9"/>
      <c r="D177" s="9"/>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row>
    <row r="178" spans="2:71" x14ac:dyDescent="0.35">
      <c r="B178" s="10"/>
      <c r="C178" s="9"/>
      <c r="D178" s="9"/>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row>
    <row r="179" spans="2:71" x14ac:dyDescent="0.35">
      <c r="B179" s="10"/>
      <c r="C179" s="9"/>
      <c r="D179" s="9"/>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row>
    <row r="180" spans="2:71" x14ac:dyDescent="0.35">
      <c r="B180" s="10"/>
      <c r="C180" s="9"/>
      <c r="D180" s="9"/>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row>
    <row r="181" spans="2:71" x14ac:dyDescent="0.35">
      <c r="B181" s="10"/>
      <c r="C181" s="9"/>
      <c r="D181" s="9"/>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row>
    <row r="182" spans="2:71" x14ac:dyDescent="0.35">
      <c r="B182" s="10"/>
      <c r="C182" s="9"/>
      <c r="D182" s="9"/>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row>
    <row r="183" spans="2:71" x14ac:dyDescent="0.35">
      <c r="B183" s="10"/>
      <c r="C183" s="9"/>
      <c r="D183" s="9"/>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row>
    <row r="184" spans="2:71" hidden="1" x14ac:dyDescent="0.35">
      <c r="B184" s="10"/>
      <c r="C184" s="9"/>
      <c r="D184" s="9"/>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S184" t="str">
        <f>$C$14</f>
        <v>EGP</v>
      </c>
    </row>
    <row r="185" spans="2:71" hidden="1" x14ac:dyDescent="0.35">
      <c r="B185" s="10"/>
      <c r="C185" s="9"/>
      <c r="D185" s="9"/>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S185" t="str">
        <f>$C$15</f>
        <v>EGP</v>
      </c>
    </row>
    <row r="186" spans="2:71" hidden="1" x14ac:dyDescent="0.35">
      <c r="B186" s="10"/>
      <c r="C186" s="9"/>
      <c r="D186" s="9"/>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S186" t="str">
        <f>$C$16</f>
        <v>USD</v>
      </c>
    </row>
    <row r="187" spans="2:71" hidden="1" x14ac:dyDescent="0.35">
      <c r="B187" s="10"/>
      <c r="C187" s="9"/>
      <c r="D187" s="9"/>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S187" t="str">
        <f>$C$17</f>
        <v>EGP</v>
      </c>
    </row>
    <row r="188" spans="2:71" hidden="1" x14ac:dyDescent="0.35">
      <c r="B188" s="10"/>
      <c r="C188" s="9"/>
      <c r="D188" s="9"/>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S188" t="str">
        <f>$C$18</f>
        <v>USD</v>
      </c>
    </row>
    <row r="189" spans="2:71" hidden="1" x14ac:dyDescent="0.35">
      <c r="B189" s="10"/>
      <c r="C189" s="9"/>
      <c r="D189" s="9"/>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row>
    <row r="190" spans="2:71" hidden="1" x14ac:dyDescent="0.35">
      <c r="B190" s="10"/>
      <c r="C190" s="9"/>
      <c r="D190" s="9"/>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row>
    <row r="191" spans="2:71" hidden="1" x14ac:dyDescent="0.35">
      <c r="B191" s="10"/>
      <c r="C191" s="9"/>
      <c r="D191" s="9"/>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S191" t="str">
        <f>$C$21</f>
        <v>EGP</v>
      </c>
    </row>
    <row r="192" spans="2:71" hidden="1" x14ac:dyDescent="0.35">
      <c r="B192" s="10"/>
      <c r="C192" s="9"/>
      <c r="D192" s="9"/>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S192" t="str">
        <f>$C$22</f>
        <v>USD</v>
      </c>
    </row>
    <row r="193" spans="2:71" hidden="1" x14ac:dyDescent="0.35">
      <c r="B193" s="10"/>
      <c r="C193" s="9"/>
      <c r="D193" s="9"/>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S193" t="str">
        <f>$C$23</f>
        <v>EGP</v>
      </c>
    </row>
    <row r="194" spans="2:71" hidden="1" x14ac:dyDescent="0.35">
      <c r="B194" s="10"/>
      <c r="C194" s="9"/>
      <c r="D194" s="9"/>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S194" t="str">
        <f>$C$24</f>
        <v>USD</v>
      </c>
    </row>
    <row r="195" spans="2:71" hidden="1" x14ac:dyDescent="0.35">
      <c r="B195" s="10"/>
      <c r="C195" s="9"/>
      <c r="D195" s="9"/>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row>
    <row r="196" spans="2:71" hidden="1" x14ac:dyDescent="0.35">
      <c r="B196" s="10"/>
      <c r="C196" s="9"/>
      <c r="D196" s="9"/>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row>
    <row r="197" spans="2:71" hidden="1" x14ac:dyDescent="0.35">
      <c r="B197" s="10"/>
      <c r="C197" s="9"/>
      <c r="D197" s="9"/>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S197" t="str">
        <f>$C$27</f>
        <v>EGP</v>
      </c>
    </row>
    <row r="198" spans="2:71" hidden="1" x14ac:dyDescent="0.35">
      <c r="B198" s="10"/>
      <c r="C198" s="9"/>
      <c r="D198" s="9"/>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S198" t="str">
        <f>$C$28</f>
        <v>USD</v>
      </c>
    </row>
    <row r="199" spans="2:71" hidden="1" x14ac:dyDescent="0.35">
      <c r="B199" s="10"/>
      <c r="C199" s="9"/>
      <c r="D199" s="9"/>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row>
    <row r="200" spans="2:71" hidden="1" x14ac:dyDescent="0.35">
      <c r="B200" s="10"/>
      <c r="C200" s="9"/>
      <c r="D200" s="9"/>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S200" t="str">
        <f>$C$29</f>
        <v>USD</v>
      </c>
    </row>
    <row r="201" spans="2:71" hidden="1" x14ac:dyDescent="0.35">
      <c r="B201" s="10"/>
      <c r="C201" s="9"/>
      <c r="D201" s="9"/>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S201" t="str">
        <f>$C$30</f>
        <v>USD</v>
      </c>
    </row>
    <row r="202" spans="2:71" hidden="1" x14ac:dyDescent="0.35">
      <c r="B202" s="10"/>
      <c r="C202" s="9"/>
      <c r="D202" s="9"/>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row>
    <row r="203" spans="2:71" hidden="1" x14ac:dyDescent="0.35">
      <c r="B203" s="10"/>
      <c r="C203" s="9"/>
      <c r="D203" s="9"/>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row>
    <row r="204" spans="2:71" hidden="1" x14ac:dyDescent="0.35">
      <c r="B204" s="10"/>
      <c r="C204" s="9"/>
      <c r="D204" s="9"/>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S204" t="str">
        <f>$C$33</f>
        <v>EGP</v>
      </c>
    </row>
    <row r="205" spans="2:71" hidden="1" x14ac:dyDescent="0.35">
      <c r="B205" s="10"/>
      <c r="C205" s="9"/>
      <c r="D205" s="9"/>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S205" t="str">
        <f>$C$34</f>
        <v>EGP</v>
      </c>
    </row>
    <row r="206" spans="2:71" hidden="1" x14ac:dyDescent="0.35">
      <c r="B206" s="10"/>
      <c r="C206" s="9"/>
      <c r="D206" s="9"/>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S206" t="str">
        <f>$C$35</f>
        <v>EGP</v>
      </c>
    </row>
    <row r="207" spans="2:71" hidden="1" x14ac:dyDescent="0.35">
      <c r="B207" s="10"/>
      <c r="C207" s="9"/>
      <c r="D207" s="9"/>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row>
    <row r="208" spans="2:71" hidden="1" x14ac:dyDescent="0.35">
      <c r="B208" s="10"/>
      <c r="C208" s="9"/>
      <c r="D208" s="9"/>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S208" t="str">
        <f>$C$36</f>
        <v>EGP</v>
      </c>
    </row>
    <row r="209" spans="2:71" hidden="1" x14ac:dyDescent="0.35">
      <c r="B209" s="10"/>
      <c r="C209" s="9"/>
      <c r="D209" s="9"/>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row>
    <row r="210" spans="2:71" hidden="1" x14ac:dyDescent="0.35">
      <c r="B210" s="10"/>
      <c r="C210" s="9"/>
      <c r="D210" s="9"/>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row>
    <row r="211" spans="2:71" hidden="1" x14ac:dyDescent="0.35">
      <c r="B211" s="10"/>
      <c r="C211" s="9"/>
      <c r="D211" s="9"/>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S211" t="str">
        <f>$C$39</f>
        <v>EGP</v>
      </c>
    </row>
    <row r="212" spans="2:71" hidden="1" x14ac:dyDescent="0.35">
      <c r="B212" s="10"/>
      <c r="C212" s="9"/>
      <c r="D212" s="9"/>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S212" t="str">
        <f>$C$40</f>
        <v>EGP</v>
      </c>
    </row>
    <row r="213" spans="2:71" hidden="1" x14ac:dyDescent="0.35">
      <c r="B213" s="10"/>
      <c r="C213" s="9"/>
      <c r="D213" s="9"/>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row>
    <row r="214" spans="2:71" hidden="1" x14ac:dyDescent="0.35">
      <c r="B214" s="10"/>
      <c r="C214" s="9"/>
      <c r="D214" s="9"/>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row>
    <row r="215" spans="2:71" hidden="1" x14ac:dyDescent="0.35">
      <c r="B215" s="10"/>
      <c r="C215" s="9"/>
      <c r="D215" s="9"/>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row>
    <row r="216" spans="2:71" hidden="1" x14ac:dyDescent="0.35">
      <c r="B216" s="10"/>
      <c r="C216" s="9"/>
      <c r="D216" s="9"/>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S216" t="str">
        <f>$C$43</f>
        <v>EGP</v>
      </c>
    </row>
    <row r="217" spans="2:71" hidden="1" x14ac:dyDescent="0.35">
      <c r="B217" s="10"/>
      <c r="C217" s="9"/>
      <c r="D217" s="9"/>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S217" t="str">
        <f>$C$44</f>
        <v>EGP</v>
      </c>
    </row>
    <row r="218" spans="2:71" hidden="1" x14ac:dyDescent="0.35">
      <c r="B218" s="10"/>
      <c r="C218" s="9"/>
      <c r="D218" s="9"/>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S218" t="str">
        <f>$C$45</f>
        <v>EGP</v>
      </c>
    </row>
    <row r="219" spans="2:71" hidden="1" x14ac:dyDescent="0.35">
      <c r="B219" s="10"/>
      <c r="C219" s="9"/>
      <c r="D219" s="9"/>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S219" t="str">
        <f>$C$46</f>
        <v>EGP</v>
      </c>
    </row>
    <row r="220" spans="2:71" hidden="1" x14ac:dyDescent="0.35">
      <c r="B220" s="10"/>
      <c r="C220" s="9"/>
      <c r="D220" s="9"/>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S220" t="str">
        <f>$C$47</f>
        <v>EGP</v>
      </c>
    </row>
    <row r="221" spans="2:71" hidden="1" x14ac:dyDescent="0.35">
      <c r="B221" s="10"/>
      <c r="C221" s="9"/>
      <c r="D221" s="9"/>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S221" t="str">
        <f>$C$48</f>
        <v>EGP</v>
      </c>
    </row>
    <row r="222" spans="2:71" hidden="1" x14ac:dyDescent="0.35">
      <c r="B222" s="10"/>
      <c r="C222" s="9"/>
      <c r="D222" s="9"/>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S222" t="str">
        <f>$C$49</f>
        <v>EGP</v>
      </c>
    </row>
    <row r="223" spans="2:71" hidden="1" x14ac:dyDescent="0.35">
      <c r="B223" s="10"/>
      <c r="C223" s="9"/>
      <c r="D223" s="9"/>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S223" t="str">
        <f>$C$50</f>
        <v>USD</v>
      </c>
    </row>
    <row r="224" spans="2:71" hidden="1" x14ac:dyDescent="0.35">
      <c r="B224" s="10"/>
      <c r="C224" s="9"/>
      <c r="D224" s="9"/>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row>
    <row r="225" spans="2:71" hidden="1" x14ac:dyDescent="0.35">
      <c r="B225" s="10"/>
      <c r="C225" s="9"/>
      <c r="D225" s="9"/>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row>
    <row r="226" spans="2:71" hidden="1" x14ac:dyDescent="0.35">
      <c r="B226" s="10"/>
      <c r="C226" s="9"/>
      <c r="D226" s="9"/>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row>
    <row r="227" spans="2:71" hidden="1" x14ac:dyDescent="0.35">
      <c r="B227" s="10"/>
      <c r="C227" s="9"/>
      <c r="D227" s="9"/>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S227" t="str">
        <f>$C$53</f>
        <v>EGP</v>
      </c>
    </row>
    <row r="228" spans="2:71" hidden="1" x14ac:dyDescent="0.35">
      <c r="B228" s="10"/>
      <c r="C228" s="9"/>
      <c r="D228" s="9"/>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S228" t="str">
        <f>$C$54</f>
        <v>EGP</v>
      </c>
    </row>
    <row r="229" spans="2:71" hidden="1" x14ac:dyDescent="0.35">
      <c r="B229" s="10"/>
      <c r="C229" s="9"/>
      <c r="D229" s="9"/>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S229" t="str">
        <f>$C$55</f>
        <v>EGP</v>
      </c>
    </row>
    <row r="230" spans="2:71" hidden="1" x14ac:dyDescent="0.35">
      <c r="B230" s="10"/>
      <c r="C230" s="9"/>
      <c r="D230" s="9"/>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S230" t="str">
        <f>$C$56</f>
        <v>EGP</v>
      </c>
    </row>
    <row r="231" spans="2:71" hidden="1" x14ac:dyDescent="0.35">
      <c r="B231" s="10"/>
      <c r="C231" s="9"/>
      <c r="D231" s="9"/>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S231" t="str">
        <f>$C$57</f>
        <v>EGP</v>
      </c>
    </row>
    <row r="232" spans="2:71" hidden="1" x14ac:dyDescent="0.35">
      <c r="B232" s="10"/>
      <c r="C232" s="9"/>
      <c r="D232" s="9"/>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S232" t="str">
        <f>$C$58</f>
        <v>EGP</v>
      </c>
    </row>
    <row r="233" spans="2:71" hidden="1" x14ac:dyDescent="0.35">
      <c r="B233" s="10"/>
      <c r="C233" s="9"/>
      <c r="D233" s="9"/>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S233" t="str">
        <f>$C$61</f>
        <v>EGP</v>
      </c>
    </row>
    <row r="234" spans="2:71" hidden="1" x14ac:dyDescent="0.35">
      <c r="B234" s="10"/>
      <c r="C234" s="9"/>
      <c r="D234" s="9"/>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S234" t="str">
        <f>$C$62</f>
        <v>EGP</v>
      </c>
    </row>
    <row r="235" spans="2:71" hidden="1" x14ac:dyDescent="0.35">
      <c r="B235" s="10"/>
      <c r="C235" s="9"/>
      <c r="D235" s="9"/>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S235" t="str">
        <f>$C$63</f>
        <v>EGP</v>
      </c>
    </row>
    <row r="236" spans="2:71" hidden="1" x14ac:dyDescent="0.35">
      <c r="B236" s="10"/>
      <c r="C236" s="9"/>
      <c r="D236" s="9"/>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S236" t="str">
        <f>$C$64</f>
        <v>EGP</v>
      </c>
    </row>
    <row r="237" spans="2:71" hidden="1" x14ac:dyDescent="0.35">
      <c r="B237" s="10"/>
      <c r="C237" s="9"/>
      <c r="D237" s="9"/>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S237" t="str">
        <f>$C$65</f>
        <v>EGP</v>
      </c>
    </row>
    <row r="238" spans="2:71" hidden="1" x14ac:dyDescent="0.35">
      <c r="B238" s="10"/>
      <c r="C238" s="9"/>
      <c r="D238" s="9"/>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S238" t="str">
        <f>$C$66</f>
        <v>EGP</v>
      </c>
    </row>
    <row r="239" spans="2:71" hidden="1" x14ac:dyDescent="0.35">
      <c r="B239" s="10"/>
      <c r="C239" s="9"/>
      <c r="D239" s="9"/>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S239" t="str">
        <f>$C$67</f>
        <v>EGP</v>
      </c>
    </row>
    <row r="240" spans="2:71" hidden="1" x14ac:dyDescent="0.35">
      <c r="B240" s="10"/>
      <c r="C240" s="9"/>
      <c r="D240" s="9"/>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S240" t="str">
        <f>$C$68</f>
        <v>EGP</v>
      </c>
    </row>
    <row r="241" spans="2:71" hidden="1" x14ac:dyDescent="0.35">
      <c r="B241" s="10"/>
      <c r="C241" s="9"/>
      <c r="D241" s="9"/>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S241" t="str">
        <f>$C$69</f>
        <v>EGP</v>
      </c>
    </row>
    <row r="242" spans="2:71" hidden="1" x14ac:dyDescent="0.35">
      <c r="B242" s="10"/>
      <c r="C242" s="9"/>
      <c r="D242" s="9"/>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S242" t="str">
        <f>$C$70</f>
        <v>EGP</v>
      </c>
    </row>
    <row r="243" spans="2:71" hidden="1" x14ac:dyDescent="0.35">
      <c r="B243" s="10"/>
      <c r="C243" s="9"/>
      <c r="D243" s="9"/>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S243" t="str">
        <f>$C$71</f>
        <v>EGP</v>
      </c>
    </row>
    <row r="244" spans="2:71" hidden="1" x14ac:dyDescent="0.35">
      <c r="B244" s="10"/>
      <c r="C244" s="9"/>
      <c r="D244" s="9"/>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S244" t="str">
        <f>$C$74</f>
        <v>EGP</v>
      </c>
    </row>
    <row r="245" spans="2:71" hidden="1" x14ac:dyDescent="0.35">
      <c r="B245" s="10"/>
      <c r="C245" s="9"/>
      <c r="D245" s="9"/>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S245" t="str">
        <f>$C$75</f>
        <v>EGP</v>
      </c>
    </row>
    <row r="246" spans="2:71" hidden="1" x14ac:dyDescent="0.35">
      <c r="B246" s="10"/>
      <c r="C246" s="9"/>
      <c r="D246" s="9"/>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S246" t="str">
        <f>$C$76</f>
        <v>EGP</v>
      </c>
    </row>
    <row r="247" spans="2:71" hidden="1" x14ac:dyDescent="0.35">
      <c r="B247" s="10"/>
      <c r="C247" s="9"/>
      <c r="D247" s="9"/>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S247" t="str">
        <f>$C$77</f>
        <v>EGP</v>
      </c>
    </row>
    <row r="248" spans="2:71" hidden="1" x14ac:dyDescent="0.35">
      <c r="B248" s="10"/>
      <c r="C248" s="9"/>
      <c r="D248" s="9"/>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S248" t="str">
        <f>$C$78</f>
        <v>EGP</v>
      </c>
    </row>
    <row r="249" spans="2:71" hidden="1" x14ac:dyDescent="0.35">
      <c r="B249" s="10"/>
      <c r="C249" s="9"/>
      <c r="D249" s="9"/>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S249" t="str">
        <f>$C$79</f>
        <v>EGP</v>
      </c>
    </row>
    <row r="250" spans="2:71" hidden="1" x14ac:dyDescent="0.35">
      <c r="B250" s="10"/>
      <c r="C250" s="9"/>
      <c r="D250" s="9"/>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S250" t="str">
        <f>$C$80</f>
        <v>EGP</v>
      </c>
    </row>
    <row r="251" spans="2:71" hidden="1" x14ac:dyDescent="0.35">
      <c r="B251" s="10"/>
      <c r="C251" s="9"/>
      <c r="D251" s="9"/>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S251" t="str">
        <f>$C$81</f>
        <v>EGP</v>
      </c>
    </row>
    <row r="252" spans="2:71" hidden="1" x14ac:dyDescent="0.35">
      <c r="B252" s="10"/>
      <c r="C252" s="9"/>
      <c r="D252" s="9"/>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row>
    <row r="253" spans="2:71" hidden="1" x14ac:dyDescent="0.35">
      <c r="B253" s="10"/>
      <c r="C253" s="9"/>
      <c r="D253" s="9"/>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row>
    <row r="254" spans="2:71" hidden="1" x14ac:dyDescent="0.35">
      <c r="B254" s="10"/>
      <c r="C254" s="9"/>
      <c r="D254" s="9"/>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row>
    <row r="255" spans="2:71" hidden="1" x14ac:dyDescent="0.35">
      <c r="B255" s="10"/>
      <c r="C255" s="9"/>
      <c r="D255" s="9"/>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row>
    <row r="256" spans="2:71" hidden="1" x14ac:dyDescent="0.35">
      <c r="B256" s="10"/>
      <c r="C256" s="9"/>
      <c r="D256" s="9"/>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row>
    <row r="257" spans="2:64" hidden="1" x14ac:dyDescent="0.35">
      <c r="B257" s="10"/>
      <c r="C257" s="9"/>
      <c r="D257" s="9"/>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row>
    <row r="258" spans="2:64" hidden="1" x14ac:dyDescent="0.35">
      <c r="B258" s="10"/>
      <c r="C258" s="9"/>
      <c r="D258" s="9"/>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row>
    <row r="259" spans="2:64" hidden="1" x14ac:dyDescent="0.35">
      <c r="B259" s="10"/>
      <c r="C259" s="9"/>
      <c r="D259" s="9"/>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row>
    <row r="260" spans="2:64" hidden="1" x14ac:dyDescent="0.35">
      <c r="B260" s="10"/>
      <c r="C260" s="9"/>
      <c r="D260" s="9"/>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row>
    <row r="261" spans="2:64" hidden="1" x14ac:dyDescent="0.35">
      <c r="B261" s="10"/>
      <c r="C261" s="9"/>
      <c r="D261" s="9"/>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row>
    <row r="262" spans="2:64" hidden="1" x14ac:dyDescent="0.35">
      <c r="B262" s="10"/>
      <c r="C262" s="9"/>
      <c r="D262" s="9"/>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row>
    <row r="263" spans="2:64" hidden="1" x14ac:dyDescent="0.35">
      <c r="B263" s="10"/>
      <c r="C263" s="9"/>
      <c r="D263" s="9"/>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row>
    <row r="264" spans="2:64" hidden="1" x14ac:dyDescent="0.35">
      <c r="B264" s="10"/>
      <c r="C264" s="9"/>
      <c r="D264" s="9"/>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row>
    <row r="265" spans="2:64" hidden="1" x14ac:dyDescent="0.35">
      <c r="B265" s="10"/>
      <c r="C265" s="9"/>
      <c r="D265" s="9"/>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row>
    <row r="266" spans="2:64" hidden="1" x14ac:dyDescent="0.35">
      <c r="B266" s="10"/>
      <c r="C266" s="9"/>
      <c r="D266" s="9"/>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row>
    <row r="267" spans="2:64" hidden="1" x14ac:dyDescent="0.35">
      <c r="B267" s="10"/>
      <c r="C267" s="9"/>
      <c r="D267" s="9"/>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row>
    <row r="268" spans="2:64" hidden="1" x14ac:dyDescent="0.35">
      <c r="B268" s="10"/>
      <c r="C268" s="9"/>
      <c r="D268" s="9"/>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row>
    <row r="269" spans="2:64" hidden="1" x14ac:dyDescent="0.35">
      <c r="B269" s="10"/>
      <c r="C269" s="9"/>
      <c r="D269" s="9"/>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row>
    <row r="270" spans="2:64" hidden="1" x14ac:dyDescent="0.35">
      <c r="B270" s="10"/>
      <c r="C270" s="9"/>
      <c r="D270" s="9"/>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row>
    <row r="271" spans="2:64" hidden="1" x14ac:dyDescent="0.35">
      <c r="B271" s="10"/>
      <c r="C271" s="9"/>
      <c r="D271" s="9"/>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row>
    <row r="272" spans="2:64" hidden="1" x14ac:dyDescent="0.35">
      <c r="B272" s="10"/>
      <c r="C272" s="9"/>
      <c r="D272" s="9"/>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row>
    <row r="273" spans="2:64" hidden="1" x14ac:dyDescent="0.35">
      <c r="B273" s="10"/>
      <c r="C273" s="9"/>
      <c r="D273" s="9"/>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row>
    <row r="274" spans="2:64" hidden="1" x14ac:dyDescent="0.35">
      <c r="B274" s="10"/>
      <c r="C274" s="9"/>
      <c r="D274" s="9"/>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row>
    <row r="275" spans="2:64" hidden="1" x14ac:dyDescent="0.35">
      <c r="B275" s="10"/>
      <c r="C275" s="9"/>
      <c r="D275" s="9"/>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row>
    <row r="276" spans="2:64" hidden="1" x14ac:dyDescent="0.35">
      <c r="B276" s="10"/>
      <c r="C276" s="9"/>
      <c r="D276" s="9"/>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row>
    <row r="277" spans="2:64" hidden="1" x14ac:dyDescent="0.35">
      <c r="B277" s="10"/>
      <c r="C277" s="9"/>
      <c r="D277" s="9"/>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row>
    <row r="278" spans="2:64" hidden="1" x14ac:dyDescent="0.35">
      <c r="B278" s="10"/>
      <c r="C278" s="9"/>
      <c r="D278" s="9"/>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row>
    <row r="279" spans="2:64" hidden="1" x14ac:dyDescent="0.35">
      <c r="B279" s="10"/>
      <c r="C279" s="9"/>
      <c r="D279" s="9"/>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row>
    <row r="280" spans="2:64" hidden="1" x14ac:dyDescent="0.35">
      <c r="B280" s="10"/>
      <c r="C280" s="9"/>
      <c r="D280" s="9"/>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row>
    <row r="281" spans="2:64" hidden="1" x14ac:dyDescent="0.35">
      <c r="B281" s="10"/>
      <c r="C281" s="9"/>
      <c r="D281" s="9"/>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row>
    <row r="282" spans="2:64" hidden="1" x14ac:dyDescent="0.35">
      <c r="B282" s="10"/>
      <c r="C282" s="9"/>
      <c r="D282" s="9"/>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row>
    <row r="283" spans="2:64" hidden="1" x14ac:dyDescent="0.35">
      <c r="B283" s="10"/>
      <c r="C283" s="9"/>
      <c r="D283" s="9"/>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row>
    <row r="284" spans="2:64" hidden="1" x14ac:dyDescent="0.35">
      <c r="B284" s="10"/>
      <c r="C284" s="9"/>
      <c r="D284" s="9"/>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row>
    <row r="285" spans="2:64" hidden="1" x14ac:dyDescent="0.35">
      <c r="B285" s="10"/>
      <c r="C285" s="9"/>
      <c r="D285" s="9"/>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row>
    <row r="286" spans="2:64" hidden="1" x14ac:dyDescent="0.35">
      <c r="B286" s="10"/>
      <c r="C286" s="9"/>
      <c r="D286" s="9"/>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row>
    <row r="287" spans="2:64" hidden="1" x14ac:dyDescent="0.35">
      <c r="B287" s="10"/>
      <c r="C287" s="9"/>
      <c r="D287" s="9"/>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row>
    <row r="288" spans="2:64" hidden="1" x14ac:dyDescent="0.35">
      <c r="B288" s="10"/>
      <c r="C288" s="9"/>
      <c r="D288" s="9"/>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row>
    <row r="289" spans="2:64" hidden="1" x14ac:dyDescent="0.35">
      <c r="B289" s="10"/>
      <c r="C289" s="9"/>
      <c r="D289" s="9"/>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row>
    <row r="290" spans="2:64" hidden="1" x14ac:dyDescent="0.35">
      <c r="B290" s="10"/>
      <c r="C290" s="9"/>
      <c r="D290" s="9"/>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row>
    <row r="291" spans="2:64" hidden="1" x14ac:dyDescent="0.35">
      <c r="B291" s="10"/>
      <c r="C291" s="9"/>
      <c r="D291" s="9"/>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row>
    <row r="292" spans="2:64" hidden="1" x14ac:dyDescent="0.35">
      <c r="B292" s="10"/>
      <c r="C292" s="9"/>
      <c r="D292" s="9"/>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row>
    <row r="293" spans="2:64" hidden="1" x14ac:dyDescent="0.35">
      <c r="B293" s="10"/>
      <c r="C293" s="9"/>
      <c r="D293" s="9"/>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row>
    <row r="294" spans="2:64" hidden="1" x14ac:dyDescent="0.35">
      <c r="B294" s="10"/>
      <c r="C294" s="9"/>
      <c r="D294" s="9"/>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row>
    <row r="295" spans="2:64" hidden="1" x14ac:dyDescent="0.35">
      <c r="B295" s="10"/>
      <c r="C295" s="9"/>
      <c r="D295" s="9"/>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row>
    <row r="296" spans="2:64" hidden="1" x14ac:dyDescent="0.35">
      <c r="B296" s="10"/>
      <c r="C296" s="9"/>
      <c r="D296" s="9"/>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row>
    <row r="297" spans="2:64" hidden="1" x14ac:dyDescent="0.35">
      <c r="B297" s="10"/>
      <c r="C297" s="9"/>
      <c r="D297" s="9"/>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row>
    <row r="298" spans="2:64" hidden="1" x14ac:dyDescent="0.35">
      <c r="B298" s="10"/>
      <c r="C298" s="9"/>
      <c r="D298" s="9"/>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row>
    <row r="299" spans="2:64" hidden="1" x14ac:dyDescent="0.35">
      <c r="B299" s="10"/>
      <c r="C299" s="9"/>
      <c r="D299" s="9"/>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row>
    <row r="300" spans="2:64" hidden="1" x14ac:dyDescent="0.35">
      <c r="B300" s="10"/>
      <c r="C300" s="9"/>
      <c r="D300" s="9"/>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row>
    <row r="301" spans="2:64" hidden="1" x14ac:dyDescent="0.35">
      <c r="B301" s="10"/>
      <c r="C301" s="9"/>
      <c r="D301" s="9"/>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row>
    <row r="302" spans="2:64" hidden="1" x14ac:dyDescent="0.35">
      <c r="B302" s="10"/>
      <c r="C302" s="9"/>
      <c r="D302" s="9"/>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row>
    <row r="303" spans="2:64" hidden="1" x14ac:dyDescent="0.35">
      <c r="B303" s="10"/>
      <c r="C303" s="9"/>
      <c r="D303" s="9"/>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row>
    <row r="304" spans="2:64" hidden="1" x14ac:dyDescent="0.35">
      <c r="B304" s="10"/>
      <c r="C304" s="9"/>
      <c r="D304" s="9"/>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row>
    <row r="305" spans="2:64" hidden="1" x14ac:dyDescent="0.35">
      <c r="B305" s="10"/>
      <c r="C305" s="9"/>
      <c r="D305" s="9"/>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row>
    <row r="306" spans="2:64" hidden="1" x14ac:dyDescent="0.35">
      <c r="B306" s="10"/>
      <c r="C306" s="9"/>
      <c r="D306" s="9"/>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row>
    <row r="307" spans="2:64" hidden="1" x14ac:dyDescent="0.35">
      <c r="B307" s="10"/>
      <c r="C307" s="9"/>
      <c r="D307" s="9"/>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row>
    <row r="308" spans="2:64" hidden="1" x14ac:dyDescent="0.35">
      <c r="B308" s="10"/>
      <c r="C308" s="9"/>
      <c r="D308" s="9"/>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row>
    <row r="309" spans="2:64" hidden="1" x14ac:dyDescent="0.35">
      <c r="B309" s="10"/>
      <c r="C309" s="9"/>
      <c r="D309" s="9"/>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row>
    <row r="310" spans="2:64" hidden="1" x14ac:dyDescent="0.35">
      <c r="B310" s="10"/>
      <c r="C310" s="9"/>
      <c r="D310" s="9"/>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row>
    <row r="311" spans="2:64" hidden="1" x14ac:dyDescent="0.35">
      <c r="B311" s="10"/>
      <c r="C311" s="9"/>
      <c r="D311" s="9"/>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row>
    <row r="312" spans="2:64" hidden="1" x14ac:dyDescent="0.35">
      <c r="B312" s="10"/>
      <c r="C312" s="9"/>
      <c r="D312" s="9"/>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row>
    <row r="313" spans="2:64" hidden="1" x14ac:dyDescent="0.35">
      <c r="B313" s="10"/>
      <c r="C313" s="9"/>
      <c r="D313" s="9"/>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row>
    <row r="314" spans="2:64" hidden="1" x14ac:dyDescent="0.35">
      <c r="B314" s="10"/>
      <c r="C314" s="9"/>
      <c r="D314" s="9"/>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row>
    <row r="315" spans="2:64" hidden="1" x14ac:dyDescent="0.35">
      <c r="B315" s="10"/>
      <c r="C315" s="9"/>
      <c r="D315" s="9"/>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row>
    <row r="316" spans="2:64" hidden="1" x14ac:dyDescent="0.35">
      <c r="B316" s="10"/>
      <c r="C316" s="9"/>
      <c r="D316" s="9"/>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row>
    <row r="317" spans="2:64" hidden="1" x14ac:dyDescent="0.35">
      <c r="B317" s="10"/>
      <c r="C317" s="9"/>
      <c r="D317" s="9"/>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row>
    <row r="318" spans="2:64" hidden="1" x14ac:dyDescent="0.35">
      <c r="B318" s="10"/>
      <c r="C318" s="9"/>
      <c r="D318" s="9"/>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row>
    <row r="319" spans="2:64" hidden="1" x14ac:dyDescent="0.35">
      <c r="B319" s="10"/>
      <c r="C319" s="9"/>
      <c r="D319" s="9"/>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row>
    <row r="320" spans="2:64" hidden="1" x14ac:dyDescent="0.35">
      <c r="B320" s="10"/>
      <c r="C320" s="9"/>
      <c r="D320" s="9"/>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row>
    <row r="321" spans="2:64" hidden="1" x14ac:dyDescent="0.35">
      <c r="B321" s="10"/>
      <c r="C321" s="9"/>
      <c r="D321" s="9"/>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row>
    <row r="322" spans="2:64" hidden="1" x14ac:dyDescent="0.35">
      <c r="B322" s="10"/>
      <c r="C322" s="9"/>
      <c r="D322" s="9"/>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row>
    <row r="323" spans="2:64" hidden="1" x14ac:dyDescent="0.35">
      <c r="B323" s="23" t="s">
        <v>113</v>
      </c>
      <c r="C323" s="9"/>
      <c r="D323" s="9"/>
      <c r="E323" s="10">
        <f t="shared" ref="E323:AJ323" si="8">IF(AND(E381&gt;0,E382=0,E384=1,E385=0),1,0)</f>
        <v>0</v>
      </c>
      <c r="F323" s="10">
        <f t="shared" si="8"/>
        <v>0</v>
      </c>
      <c r="G323" s="10">
        <f t="shared" si="8"/>
        <v>0</v>
      </c>
      <c r="H323" s="10">
        <f t="shared" si="8"/>
        <v>0</v>
      </c>
      <c r="I323" s="10">
        <f t="shared" si="8"/>
        <v>0</v>
      </c>
      <c r="J323" s="10">
        <f t="shared" si="8"/>
        <v>0</v>
      </c>
      <c r="K323" s="10">
        <f t="shared" si="8"/>
        <v>0</v>
      </c>
      <c r="L323" s="10">
        <f t="shared" si="8"/>
        <v>0</v>
      </c>
      <c r="M323" s="10">
        <f t="shared" si="8"/>
        <v>0</v>
      </c>
      <c r="N323" s="10">
        <f t="shared" si="8"/>
        <v>0</v>
      </c>
      <c r="O323" s="10">
        <f t="shared" si="8"/>
        <v>0</v>
      </c>
      <c r="P323" s="10">
        <f t="shared" si="8"/>
        <v>0</v>
      </c>
      <c r="Q323" s="10">
        <f t="shared" si="8"/>
        <v>0</v>
      </c>
      <c r="R323" s="10">
        <f t="shared" si="8"/>
        <v>0</v>
      </c>
      <c r="S323" s="10">
        <f t="shared" si="8"/>
        <v>0</v>
      </c>
      <c r="T323" s="10">
        <f t="shared" si="8"/>
        <v>0</v>
      </c>
      <c r="U323" s="10">
        <f t="shared" si="8"/>
        <v>0</v>
      </c>
      <c r="V323" s="10">
        <f t="shared" si="8"/>
        <v>0</v>
      </c>
      <c r="W323" s="10">
        <f t="shared" si="8"/>
        <v>0</v>
      </c>
      <c r="X323" s="10">
        <f t="shared" si="8"/>
        <v>0</v>
      </c>
      <c r="Y323" s="10">
        <f t="shared" si="8"/>
        <v>0</v>
      </c>
      <c r="Z323" s="10">
        <f t="shared" si="8"/>
        <v>0</v>
      </c>
      <c r="AA323" s="10">
        <f t="shared" si="8"/>
        <v>0</v>
      </c>
      <c r="AB323" s="10">
        <f t="shared" si="8"/>
        <v>0</v>
      </c>
      <c r="AC323" s="10">
        <f t="shared" si="8"/>
        <v>0</v>
      </c>
      <c r="AD323" s="10">
        <f t="shared" si="8"/>
        <v>0</v>
      </c>
      <c r="AE323" s="10">
        <f t="shared" si="8"/>
        <v>0</v>
      </c>
      <c r="AF323" s="10">
        <f t="shared" si="8"/>
        <v>0</v>
      </c>
      <c r="AG323" s="10">
        <f t="shared" si="8"/>
        <v>0</v>
      </c>
      <c r="AH323" s="10">
        <f t="shared" si="8"/>
        <v>0</v>
      </c>
      <c r="AI323" s="10">
        <f t="shared" si="8"/>
        <v>0</v>
      </c>
      <c r="AJ323" s="10">
        <f t="shared" si="8"/>
        <v>0</v>
      </c>
      <c r="AK323" s="10">
        <f t="shared" ref="AK323:BL323" si="9">IF(AND(AK381&gt;0,AK382=0,AK384=1,AK385=0),1,0)</f>
        <v>0</v>
      </c>
      <c r="AL323" s="10">
        <f t="shared" si="9"/>
        <v>0</v>
      </c>
      <c r="AM323" s="10">
        <f t="shared" si="9"/>
        <v>0</v>
      </c>
      <c r="AN323" s="10">
        <f t="shared" si="9"/>
        <v>0</v>
      </c>
      <c r="AO323" s="10">
        <f t="shared" si="9"/>
        <v>0</v>
      </c>
      <c r="AP323" s="10">
        <f t="shared" si="9"/>
        <v>0</v>
      </c>
      <c r="AQ323" s="10">
        <f t="shared" si="9"/>
        <v>0</v>
      </c>
      <c r="AR323" s="10">
        <f t="shared" si="9"/>
        <v>0</v>
      </c>
      <c r="AS323" s="10">
        <f t="shared" si="9"/>
        <v>0</v>
      </c>
      <c r="AT323" s="10">
        <f t="shared" si="9"/>
        <v>0</v>
      </c>
      <c r="AU323" s="10">
        <f t="shared" si="9"/>
        <v>0</v>
      </c>
      <c r="AV323" s="10">
        <f t="shared" si="9"/>
        <v>0</v>
      </c>
      <c r="AW323" s="10">
        <f t="shared" si="9"/>
        <v>0</v>
      </c>
      <c r="AX323" s="10">
        <f t="shared" si="9"/>
        <v>0</v>
      </c>
      <c r="AY323" s="10">
        <f t="shared" si="9"/>
        <v>0</v>
      </c>
      <c r="AZ323" s="10">
        <f t="shared" si="9"/>
        <v>0</v>
      </c>
      <c r="BA323" s="10">
        <f t="shared" si="9"/>
        <v>0</v>
      </c>
      <c r="BB323" s="10">
        <f t="shared" si="9"/>
        <v>0</v>
      </c>
      <c r="BC323" s="10">
        <f t="shared" si="9"/>
        <v>0</v>
      </c>
      <c r="BD323" s="10">
        <f t="shared" si="9"/>
        <v>0</v>
      </c>
      <c r="BE323" s="10">
        <f t="shared" si="9"/>
        <v>0</v>
      </c>
      <c r="BF323" s="10">
        <f t="shared" si="9"/>
        <v>0</v>
      </c>
      <c r="BG323" s="10">
        <f t="shared" si="9"/>
        <v>0</v>
      </c>
      <c r="BH323" s="10">
        <f t="shared" si="9"/>
        <v>0</v>
      </c>
      <c r="BI323" s="10">
        <f t="shared" si="9"/>
        <v>0</v>
      </c>
      <c r="BJ323" s="10">
        <f t="shared" si="9"/>
        <v>0</v>
      </c>
      <c r="BK323" s="10">
        <f t="shared" si="9"/>
        <v>0</v>
      </c>
      <c r="BL323" s="10">
        <f t="shared" si="9"/>
        <v>0</v>
      </c>
    </row>
    <row r="324" spans="2:64" hidden="1" x14ac:dyDescent="0.35">
      <c r="B324" s="23" t="s">
        <v>114</v>
      </c>
      <c r="C324" s="9"/>
      <c r="D324" s="9"/>
      <c r="E324" s="10" t="str">
        <f t="shared" ref="E324:AJ324" si="10">IF(E323=0,"",IF($C$7="EGP",(SUMIFS(E$14:E$81,$BM$14:$BM$81,"Asset",$C$14:$C$81,"EGP"))+IFERROR((SUMIFS(E$14:E$81,$BM$14:$BM$81,"Asset",$C$14:$C$81,"USD"))*E$11,0),(SUMIFS(E$14:E$81,$BM$14:$BM$81,"Asset",$C$14:$C$81,"USD"))+IFERROR((SUMIFS(E$14:E$81,$BM$14:$BM$81,"Asset",$C$14:$C$81,"EGP"))/E$11,0)))</f>
        <v/>
      </c>
      <c r="F324" s="10" t="str">
        <f t="shared" si="10"/>
        <v/>
      </c>
      <c r="G324" s="10" t="str">
        <f t="shared" si="10"/>
        <v/>
      </c>
      <c r="H324" s="10" t="str">
        <f t="shared" si="10"/>
        <v/>
      </c>
      <c r="I324" s="10" t="str">
        <f t="shared" si="10"/>
        <v/>
      </c>
      <c r="J324" s="10" t="str">
        <f t="shared" si="10"/>
        <v/>
      </c>
      <c r="K324" s="10" t="str">
        <f t="shared" si="10"/>
        <v/>
      </c>
      <c r="L324" s="10" t="str">
        <f t="shared" si="10"/>
        <v/>
      </c>
      <c r="M324" s="10" t="str">
        <f t="shared" si="10"/>
        <v/>
      </c>
      <c r="N324" s="10" t="str">
        <f t="shared" si="10"/>
        <v/>
      </c>
      <c r="O324" s="10" t="str">
        <f t="shared" si="10"/>
        <v/>
      </c>
      <c r="P324" s="10" t="str">
        <f t="shared" si="10"/>
        <v/>
      </c>
      <c r="Q324" s="10" t="str">
        <f t="shared" si="10"/>
        <v/>
      </c>
      <c r="R324" s="10" t="str">
        <f t="shared" si="10"/>
        <v/>
      </c>
      <c r="S324" s="10" t="str">
        <f t="shared" si="10"/>
        <v/>
      </c>
      <c r="T324" s="10" t="str">
        <f t="shared" si="10"/>
        <v/>
      </c>
      <c r="U324" s="10" t="str">
        <f t="shared" si="10"/>
        <v/>
      </c>
      <c r="V324" s="10" t="str">
        <f t="shared" si="10"/>
        <v/>
      </c>
      <c r="W324" s="10" t="str">
        <f t="shared" si="10"/>
        <v/>
      </c>
      <c r="X324" s="10" t="str">
        <f t="shared" si="10"/>
        <v/>
      </c>
      <c r="Y324" s="10" t="str">
        <f t="shared" si="10"/>
        <v/>
      </c>
      <c r="Z324" s="10" t="str">
        <f t="shared" si="10"/>
        <v/>
      </c>
      <c r="AA324" s="10" t="str">
        <f t="shared" si="10"/>
        <v/>
      </c>
      <c r="AB324" s="10" t="str">
        <f t="shared" si="10"/>
        <v/>
      </c>
      <c r="AC324" s="10" t="str">
        <f t="shared" si="10"/>
        <v/>
      </c>
      <c r="AD324" s="10" t="str">
        <f t="shared" si="10"/>
        <v/>
      </c>
      <c r="AE324" s="10" t="str">
        <f t="shared" si="10"/>
        <v/>
      </c>
      <c r="AF324" s="10" t="str">
        <f t="shared" si="10"/>
        <v/>
      </c>
      <c r="AG324" s="10" t="str">
        <f t="shared" si="10"/>
        <v/>
      </c>
      <c r="AH324" s="10" t="str">
        <f t="shared" si="10"/>
        <v/>
      </c>
      <c r="AI324" s="10" t="str">
        <f t="shared" si="10"/>
        <v/>
      </c>
      <c r="AJ324" s="10" t="str">
        <f t="shared" si="10"/>
        <v/>
      </c>
      <c r="AK324" s="10" t="str">
        <f t="shared" ref="AK324:BP324" si="11">IF(AK323=0,"",IF($C$7="EGP",(SUMIFS(AK$14:AK$81,$BM$14:$BM$81,"Asset",$C$14:$C$81,"EGP"))+IFERROR((SUMIFS(AK$14:AK$81,$BM$14:$BM$81,"Asset",$C$14:$C$81,"USD"))*AK$11,0),(SUMIFS(AK$14:AK$81,$BM$14:$BM$81,"Asset",$C$14:$C$81,"USD"))+IFERROR((SUMIFS(AK$14:AK$81,$BM$14:$BM$81,"Asset",$C$14:$C$81,"EGP"))/AK$11,0)))</f>
        <v/>
      </c>
      <c r="AL324" s="10" t="str">
        <f t="shared" si="11"/>
        <v/>
      </c>
      <c r="AM324" s="10" t="str">
        <f t="shared" si="11"/>
        <v/>
      </c>
      <c r="AN324" s="10" t="str">
        <f t="shared" si="11"/>
        <v/>
      </c>
      <c r="AO324" s="10" t="str">
        <f t="shared" si="11"/>
        <v/>
      </c>
      <c r="AP324" s="10" t="str">
        <f t="shared" si="11"/>
        <v/>
      </c>
      <c r="AQ324" s="10" t="str">
        <f t="shared" si="11"/>
        <v/>
      </c>
      <c r="AR324" s="10" t="str">
        <f t="shared" si="11"/>
        <v/>
      </c>
      <c r="AS324" s="10" t="str">
        <f t="shared" si="11"/>
        <v/>
      </c>
      <c r="AT324" s="10" t="str">
        <f t="shared" si="11"/>
        <v/>
      </c>
      <c r="AU324" s="10" t="str">
        <f t="shared" si="11"/>
        <v/>
      </c>
      <c r="AV324" s="10" t="str">
        <f t="shared" si="11"/>
        <v/>
      </c>
      <c r="AW324" s="10" t="str">
        <f t="shared" si="11"/>
        <v/>
      </c>
      <c r="AX324" s="10" t="str">
        <f t="shared" si="11"/>
        <v/>
      </c>
      <c r="AY324" s="10" t="str">
        <f t="shared" si="11"/>
        <v/>
      </c>
      <c r="AZ324" s="10" t="str">
        <f t="shared" si="11"/>
        <v/>
      </c>
      <c r="BA324" s="10" t="str">
        <f t="shared" si="11"/>
        <v/>
      </c>
      <c r="BB324" s="10" t="str">
        <f t="shared" si="11"/>
        <v/>
      </c>
      <c r="BC324" s="10" t="str">
        <f t="shared" si="11"/>
        <v/>
      </c>
      <c r="BD324" s="10" t="str">
        <f t="shared" si="11"/>
        <v/>
      </c>
      <c r="BE324" s="10" t="str">
        <f t="shared" si="11"/>
        <v/>
      </c>
      <c r="BF324" s="10" t="str">
        <f t="shared" si="11"/>
        <v/>
      </c>
      <c r="BG324" s="10" t="str">
        <f t="shared" si="11"/>
        <v/>
      </c>
      <c r="BH324" s="10" t="str">
        <f t="shared" si="11"/>
        <v/>
      </c>
      <c r="BI324" s="10" t="str">
        <f t="shared" si="11"/>
        <v/>
      </c>
      <c r="BJ324" s="10" t="str">
        <f t="shared" si="11"/>
        <v/>
      </c>
      <c r="BK324" s="10" t="str">
        <f t="shared" si="11"/>
        <v/>
      </c>
      <c r="BL324" s="10" t="str">
        <f t="shared" si="11"/>
        <v/>
      </c>
    </row>
    <row r="325" spans="2:64" hidden="1" x14ac:dyDescent="0.35">
      <c r="B325" s="23" t="s">
        <v>115</v>
      </c>
      <c r="C325" s="9"/>
      <c r="D325" s="9"/>
      <c r="E325" s="10" t="str">
        <f t="shared" ref="E325:AJ325" si="12">IF(E323=0,"",IF($C$7="EGP",(SUMIFS(E$14:E$81,$BM$14:$BM$81,"Debt",$C$14:$C$81,"EGP"))+IFERROR((SUMIFS(E$14:E$81,$BM$14:$BM$81,"Debt",$C$14:$C$81,"USD"))*E$11,0),(SUMIFS(E$14:E$81,$BM$14:$BM$81,"Debt",$C$14:$C$81,"USD"))+IFERROR((SUMIFS(E$14:E$81,$BM$14:$BM$81,"Debt",$C$14:$C$81,"EGP"))/E$11,0)))</f>
        <v/>
      </c>
      <c r="F325" s="10" t="str">
        <f t="shared" si="12"/>
        <v/>
      </c>
      <c r="G325" s="10" t="str">
        <f t="shared" si="12"/>
        <v/>
      </c>
      <c r="H325" s="10" t="str">
        <f t="shared" si="12"/>
        <v/>
      </c>
      <c r="I325" s="10" t="str">
        <f t="shared" si="12"/>
        <v/>
      </c>
      <c r="J325" s="10" t="str">
        <f t="shared" si="12"/>
        <v/>
      </c>
      <c r="K325" s="10" t="str">
        <f t="shared" si="12"/>
        <v/>
      </c>
      <c r="L325" s="10" t="str">
        <f t="shared" si="12"/>
        <v/>
      </c>
      <c r="M325" s="10" t="str">
        <f t="shared" si="12"/>
        <v/>
      </c>
      <c r="N325" s="10" t="str">
        <f t="shared" si="12"/>
        <v/>
      </c>
      <c r="O325" s="10" t="str">
        <f t="shared" si="12"/>
        <v/>
      </c>
      <c r="P325" s="10" t="str">
        <f t="shared" si="12"/>
        <v/>
      </c>
      <c r="Q325" s="10" t="str">
        <f t="shared" si="12"/>
        <v/>
      </c>
      <c r="R325" s="10" t="str">
        <f t="shared" si="12"/>
        <v/>
      </c>
      <c r="S325" s="10" t="str">
        <f t="shared" si="12"/>
        <v/>
      </c>
      <c r="T325" s="10" t="str">
        <f t="shared" si="12"/>
        <v/>
      </c>
      <c r="U325" s="10" t="str">
        <f t="shared" si="12"/>
        <v/>
      </c>
      <c r="V325" s="10" t="str">
        <f t="shared" si="12"/>
        <v/>
      </c>
      <c r="W325" s="10" t="str">
        <f t="shared" si="12"/>
        <v/>
      </c>
      <c r="X325" s="10" t="str">
        <f t="shared" si="12"/>
        <v/>
      </c>
      <c r="Y325" s="10" t="str">
        <f t="shared" si="12"/>
        <v/>
      </c>
      <c r="Z325" s="10" t="str">
        <f t="shared" si="12"/>
        <v/>
      </c>
      <c r="AA325" s="10" t="str">
        <f t="shared" si="12"/>
        <v/>
      </c>
      <c r="AB325" s="10" t="str">
        <f t="shared" si="12"/>
        <v/>
      </c>
      <c r="AC325" s="10" t="str">
        <f t="shared" si="12"/>
        <v/>
      </c>
      <c r="AD325" s="10" t="str">
        <f t="shared" si="12"/>
        <v/>
      </c>
      <c r="AE325" s="10" t="str">
        <f t="shared" si="12"/>
        <v/>
      </c>
      <c r="AF325" s="10" t="str">
        <f t="shared" si="12"/>
        <v/>
      </c>
      <c r="AG325" s="10" t="str">
        <f t="shared" si="12"/>
        <v/>
      </c>
      <c r="AH325" s="10" t="str">
        <f t="shared" si="12"/>
        <v/>
      </c>
      <c r="AI325" s="10" t="str">
        <f t="shared" si="12"/>
        <v/>
      </c>
      <c r="AJ325" s="10" t="str">
        <f t="shared" si="12"/>
        <v/>
      </c>
      <c r="AK325" s="10" t="str">
        <f t="shared" ref="AK325:BL325" si="13">IF(AK323=0,"",IF($C$7="EGP",(SUMIFS(AK$14:AK$81,$BM$14:$BM$81,"Debt",$C$14:$C$81,"EGP"))+IFERROR((SUMIFS(AK$14:AK$81,$BM$14:$BM$81,"Debt",$C$14:$C$81,"USD"))*AK$11,0),(SUMIFS(AK$14:AK$81,$BM$14:$BM$81,"Debt",$C$14:$C$81,"USD"))+IFERROR((SUMIFS(AK$14:AK$81,$BM$14:$BM$81,"Debt",$C$14:$C$81,"EGP"))/AK$11,0)))</f>
        <v/>
      </c>
      <c r="AL325" s="10" t="str">
        <f t="shared" si="13"/>
        <v/>
      </c>
      <c r="AM325" s="10" t="str">
        <f t="shared" si="13"/>
        <v/>
      </c>
      <c r="AN325" s="10" t="str">
        <f t="shared" si="13"/>
        <v/>
      </c>
      <c r="AO325" s="10" t="str">
        <f t="shared" si="13"/>
        <v/>
      </c>
      <c r="AP325" s="10" t="str">
        <f t="shared" si="13"/>
        <v/>
      </c>
      <c r="AQ325" s="10" t="str">
        <f t="shared" si="13"/>
        <v/>
      </c>
      <c r="AR325" s="10" t="str">
        <f t="shared" si="13"/>
        <v/>
      </c>
      <c r="AS325" s="10" t="str">
        <f t="shared" si="13"/>
        <v/>
      </c>
      <c r="AT325" s="10" t="str">
        <f t="shared" si="13"/>
        <v/>
      </c>
      <c r="AU325" s="10" t="str">
        <f t="shared" si="13"/>
        <v/>
      </c>
      <c r="AV325" s="10" t="str">
        <f t="shared" si="13"/>
        <v/>
      </c>
      <c r="AW325" s="10" t="str">
        <f t="shared" si="13"/>
        <v/>
      </c>
      <c r="AX325" s="10" t="str">
        <f t="shared" si="13"/>
        <v/>
      </c>
      <c r="AY325" s="10" t="str">
        <f t="shared" si="13"/>
        <v/>
      </c>
      <c r="AZ325" s="10" t="str">
        <f t="shared" si="13"/>
        <v/>
      </c>
      <c r="BA325" s="10" t="str">
        <f t="shared" si="13"/>
        <v/>
      </c>
      <c r="BB325" s="10" t="str">
        <f t="shared" si="13"/>
        <v/>
      </c>
      <c r="BC325" s="10" t="str">
        <f t="shared" si="13"/>
        <v/>
      </c>
      <c r="BD325" s="10" t="str">
        <f t="shared" si="13"/>
        <v/>
      </c>
      <c r="BE325" s="10" t="str">
        <f t="shared" si="13"/>
        <v/>
      </c>
      <c r="BF325" s="10" t="str">
        <f t="shared" si="13"/>
        <v/>
      </c>
      <c r="BG325" s="10" t="str">
        <f t="shared" si="13"/>
        <v/>
      </c>
      <c r="BH325" s="10" t="str">
        <f t="shared" si="13"/>
        <v/>
      </c>
      <c r="BI325" s="10" t="str">
        <f t="shared" si="13"/>
        <v/>
      </c>
      <c r="BJ325" s="10" t="str">
        <f t="shared" si="13"/>
        <v/>
      </c>
      <c r="BK325" s="10" t="str">
        <f t="shared" si="13"/>
        <v/>
      </c>
      <c r="BL325" s="10" t="str">
        <f t="shared" si="13"/>
        <v/>
      </c>
    </row>
    <row r="326" spans="2:64" hidden="1" x14ac:dyDescent="0.35">
      <c r="B326" s="23" t="s">
        <v>116</v>
      </c>
      <c r="C326" s="9"/>
      <c r="D326" s="9"/>
      <c r="E326" s="10" t="str">
        <f t="shared" ref="E326:AJ326" si="14">IF(E323=0,"",E324-E325)</f>
        <v/>
      </c>
      <c r="F326" s="10" t="str">
        <f t="shared" si="14"/>
        <v/>
      </c>
      <c r="G326" s="10" t="str">
        <f t="shared" si="14"/>
        <v/>
      </c>
      <c r="H326" s="10" t="str">
        <f t="shared" si="14"/>
        <v/>
      </c>
      <c r="I326" s="10" t="str">
        <f t="shared" si="14"/>
        <v/>
      </c>
      <c r="J326" s="10" t="str">
        <f t="shared" si="14"/>
        <v/>
      </c>
      <c r="K326" s="10" t="str">
        <f t="shared" si="14"/>
        <v/>
      </c>
      <c r="L326" s="10" t="str">
        <f t="shared" si="14"/>
        <v/>
      </c>
      <c r="M326" s="10" t="str">
        <f t="shared" si="14"/>
        <v/>
      </c>
      <c r="N326" s="10" t="str">
        <f t="shared" si="14"/>
        <v/>
      </c>
      <c r="O326" s="10" t="str">
        <f t="shared" si="14"/>
        <v/>
      </c>
      <c r="P326" s="10" t="str">
        <f t="shared" si="14"/>
        <v/>
      </c>
      <c r="Q326" s="10" t="str">
        <f t="shared" si="14"/>
        <v/>
      </c>
      <c r="R326" s="10" t="str">
        <f t="shared" si="14"/>
        <v/>
      </c>
      <c r="S326" s="10" t="str">
        <f t="shared" si="14"/>
        <v/>
      </c>
      <c r="T326" s="10" t="str">
        <f t="shared" si="14"/>
        <v/>
      </c>
      <c r="U326" s="10" t="str">
        <f t="shared" si="14"/>
        <v/>
      </c>
      <c r="V326" s="10" t="str">
        <f t="shared" si="14"/>
        <v/>
      </c>
      <c r="W326" s="10" t="str">
        <f t="shared" si="14"/>
        <v/>
      </c>
      <c r="X326" s="10" t="str">
        <f t="shared" si="14"/>
        <v/>
      </c>
      <c r="Y326" s="10" t="str">
        <f t="shared" si="14"/>
        <v/>
      </c>
      <c r="Z326" s="10" t="str">
        <f t="shared" si="14"/>
        <v/>
      </c>
      <c r="AA326" s="10" t="str">
        <f t="shared" si="14"/>
        <v/>
      </c>
      <c r="AB326" s="10" t="str">
        <f t="shared" si="14"/>
        <v/>
      </c>
      <c r="AC326" s="10" t="str">
        <f t="shared" si="14"/>
        <v/>
      </c>
      <c r="AD326" s="10" t="str">
        <f t="shared" si="14"/>
        <v/>
      </c>
      <c r="AE326" s="10" t="str">
        <f t="shared" si="14"/>
        <v/>
      </c>
      <c r="AF326" s="10" t="str">
        <f t="shared" si="14"/>
        <v/>
      </c>
      <c r="AG326" s="10" t="str">
        <f t="shared" si="14"/>
        <v/>
      </c>
      <c r="AH326" s="10" t="str">
        <f t="shared" si="14"/>
        <v/>
      </c>
      <c r="AI326" s="10" t="str">
        <f t="shared" si="14"/>
        <v/>
      </c>
      <c r="AJ326" s="10" t="str">
        <f t="shared" si="14"/>
        <v/>
      </c>
      <c r="AK326" s="10" t="str">
        <f t="shared" ref="AK326:BP326" si="15">IF(AK323=0,"",AK324-AK325)</f>
        <v/>
      </c>
      <c r="AL326" s="10" t="str">
        <f t="shared" si="15"/>
        <v/>
      </c>
      <c r="AM326" s="10" t="str">
        <f t="shared" si="15"/>
        <v/>
      </c>
      <c r="AN326" s="10" t="str">
        <f t="shared" si="15"/>
        <v/>
      </c>
      <c r="AO326" s="10" t="str">
        <f t="shared" si="15"/>
        <v/>
      </c>
      <c r="AP326" s="10" t="str">
        <f t="shared" si="15"/>
        <v/>
      </c>
      <c r="AQ326" s="10" t="str">
        <f t="shared" si="15"/>
        <v/>
      </c>
      <c r="AR326" s="10" t="str">
        <f t="shared" si="15"/>
        <v/>
      </c>
      <c r="AS326" s="10" t="str">
        <f t="shared" si="15"/>
        <v/>
      </c>
      <c r="AT326" s="10" t="str">
        <f t="shared" si="15"/>
        <v/>
      </c>
      <c r="AU326" s="10" t="str">
        <f t="shared" si="15"/>
        <v/>
      </c>
      <c r="AV326" s="10" t="str">
        <f t="shared" si="15"/>
        <v/>
      </c>
      <c r="AW326" s="10" t="str">
        <f t="shared" si="15"/>
        <v/>
      </c>
      <c r="AX326" s="10" t="str">
        <f t="shared" si="15"/>
        <v/>
      </c>
      <c r="AY326" s="10" t="str">
        <f t="shared" si="15"/>
        <v/>
      </c>
      <c r="AZ326" s="10" t="str">
        <f t="shared" si="15"/>
        <v/>
      </c>
      <c r="BA326" s="10" t="str">
        <f t="shared" si="15"/>
        <v/>
      </c>
      <c r="BB326" s="10" t="str">
        <f t="shared" si="15"/>
        <v/>
      </c>
      <c r="BC326" s="10" t="str">
        <f t="shared" si="15"/>
        <v/>
      </c>
      <c r="BD326" s="10" t="str">
        <f t="shared" si="15"/>
        <v/>
      </c>
      <c r="BE326" s="10" t="str">
        <f t="shared" si="15"/>
        <v/>
      </c>
      <c r="BF326" s="10" t="str">
        <f t="shared" si="15"/>
        <v/>
      </c>
      <c r="BG326" s="10" t="str">
        <f t="shared" si="15"/>
        <v/>
      </c>
      <c r="BH326" s="10" t="str">
        <f t="shared" si="15"/>
        <v/>
      </c>
      <c r="BI326" s="10" t="str">
        <f t="shared" si="15"/>
        <v/>
      </c>
      <c r="BJ326" s="10" t="str">
        <f t="shared" si="15"/>
        <v/>
      </c>
      <c r="BK326" s="10" t="str">
        <f t="shared" si="15"/>
        <v/>
      </c>
      <c r="BL326" s="10" t="str">
        <f t="shared" si="15"/>
        <v/>
      </c>
    </row>
    <row r="327" spans="2:64" hidden="1" x14ac:dyDescent="0.35">
      <c r="B327" s="23" t="s">
        <v>117</v>
      </c>
      <c r="C327" s="9"/>
      <c r="D327" s="9"/>
      <c r="E327" s="10" t="str">
        <f t="shared" ref="E327:AJ327" si="16">IF(E323=0,"",IF($C$7="EGP",(SUMIFS(E$14:E$81,$BM$14:$BM$81,"Asset",$C$14:$C$81,"EGP",$BO$14:$BO$81,"Liquid"))+IFERROR((SUMIFS(E$14:E$81,$BM$14:$BM$81,"Asset",$C$14:$C$81,"USD",$BO$14:$BO$81,"Liquid"))*E$11,0),(SUMIFS(E$14:E$81,$BM$14:$BM$81,"Asset",$C$14:$C$81,"USD",$BO$14:$BO$81,"Liquid"))+IFERROR((SUMIFS(E$14:E$81,$BM$14:$BM$81,"Asset",$C$14:$C$81,"EGP",$BO$14:$BO$81,"Liquid"))/E$11,0)))</f>
        <v/>
      </c>
      <c r="F327" s="10" t="str">
        <f t="shared" si="16"/>
        <v/>
      </c>
      <c r="G327" s="10" t="str">
        <f t="shared" si="16"/>
        <v/>
      </c>
      <c r="H327" s="10" t="str">
        <f t="shared" si="16"/>
        <v/>
      </c>
      <c r="I327" s="10" t="str">
        <f t="shared" si="16"/>
        <v/>
      </c>
      <c r="J327" s="10" t="str">
        <f t="shared" si="16"/>
        <v/>
      </c>
      <c r="K327" s="10" t="str">
        <f t="shared" si="16"/>
        <v/>
      </c>
      <c r="L327" s="10" t="str">
        <f t="shared" si="16"/>
        <v/>
      </c>
      <c r="M327" s="10" t="str">
        <f t="shared" si="16"/>
        <v/>
      </c>
      <c r="N327" s="10" t="str">
        <f t="shared" si="16"/>
        <v/>
      </c>
      <c r="O327" s="10" t="str">
        <f t="shared" si="16"/>
        <v/>
      </c>
      <c r="P327" s="10" t="str">
        <f t="shared" si="16"/>
        <v/>
      </c>
      <c r="Q327" s="10" t="str">
        <f t="shared" si="16"/>
        <v/>
      </c>
      <c r="R327" s="10" t="str">
        <f t="shared" si="16"/>
        <v/>
      </c>
      <c r="S327" s="10" t="str">
        <f t="shared" si="16"/>
        <v/>
      </c>
      <c r="T327" s="10" t="str">
        <f t="shared" si="16"/>
        <v/>
      </c>
      <c r="U327" s="10" t="str">
        <f t="shared" si="16"/>
        <v/>
      </c>
      <c r="V327" s="10" t="str">
        <f t="shared" si="16"/>
        <v/>
      </c>
      <c r="W327" s="10" t="str">
        <f t="shared" si="16"/>
        <v/>
      </c>
      <c r="X327" s="10" t="str">
        <f t="shared" si="16"/>
        <v/>
      </c>
      <c r="Y327" s="10" t="str">
        <f t="shared" si="16"/>
        <v/>
      </c>
      <c r="Z327" s="10" t="str">
        <f t="shared" si="16"/>
        <v/>
      </c>
      <c r="AA327" s="10" t="str">
        <f t="shared" si="16"/>
        <v/>
      </c>
      <c r="AB327" s="10" t="str">
        <f t="shared" si="16"/>
        <v/>
      </c>
      <c r="AC327" s="10" t="str">
        <f t="shared" si="16"/>
        <v/>
      </c>
      <c r="AD327" s="10" t="str">
        <f t="shared" si="16"/>
        <v/>
      </c>
      <c r="AE327" s="10" t="str">
        <f t="shared" si="16"/>
        <v/>
      </c>
      <c r="AF327" s="10" t="str">
        <f t="shared" si="16"/>
        <v/>
      </c>
      <c r="AG327" s="10" t="str">
        <f t="shared" si="16"/>
        <v/>
      </c>
      <c r="AH327" s="10" t="str">
        <f t="shared" si="16"/>
        <v/>
      </c>
      <c r="AI327" s="10" t="str">
        <f t="shared" si="16"/>
        <v/>
      </c>
      <c r="AJ327" s="10" t="str">
        <f t="shared" si="16"/>
        <v/>
      </c>
      <c r="AK327" s="10" t="str">
        <f t="shared" ref="AK327:BL327" si="17">IF(AK323=0,"",IF($C$7="EGP",(SUMIFS(AK$14:AK$81,$BM$14:$BM$81,"Asset",$C$14:$C$81,"EGP",$BO$14:$BO$81,"Liquid"))+IFERROR((SUMIFS(AK$14:AK$81,$BM$14:$BM$81,"Asset",$C$14:$C$81,"USD",$BO$14:$BO$81,"Liquid"))*AK$11,0),(SUMIFS(AK$14:AK$81,$BM$14:$BM$81,"Asset",$C$14:$C$81,"USD",$BO$14:$BO$81,"Liquid"))+IFERROR((SUMIFS(AK$14:AK$81,$BM$14:$BM$81,"Asset",$C$14:$C$81,"EGP",$BO$14:$BO$81,"Liquid"))/AK$11,0)))</f>
        <v/>
      </c>
      <c r="AL327" s="10" t="str">
        <f t="shared" si="17"/>
        <v/>
      </c>
      <c r="AM327" s="10" t="str">
        <f t="shared" si="17"/>
        <v/>
      </c>
      <c r="AN327" s="10" t="str">
        <f t="shared" si="17"/>
        <v/>
      </c>
      <c r="AO327" s="10" t="str">
        <f t="shared" si="17"/>
        <v/>
      </c>
      <c r="AP327" s="10" t="str">
        <f t="shared" si="17"/>
        <v/>
      </c>
      <c r="AQ327" s="10" t="str">
        <f t="shared" si="17"/>
        <v/>
      </c>
      <c r="AR327" s="10" t="str">
        <f t="shared" si="17"/>
        <v/>
      </c>
      <c r="AS327" s="10" t="str">
        <f t="shared" si="17"/>
        <v/>
      </c>
      <c r="AT327" s="10" t="str">
        <f t="shared" si="17"/>
        <v/>
      </c>
      <c r="AU327" s="10" t="str">
        <f t="shared" si="17"/>
        <v/>
      </c>
      <c r="AV327" s="10" t="str">
        <f t="shared" si="17"/>
        <v/>
      </c>
      <c r="AW327" s="10" t="str">
        <f t="shared" si="17"/>
        <v/>
      </c>
      <c r="AX327" s="10" t="str">
        <f t="shared" si="17"/>
        <v/>
      </c>
      <c r="AY327" s="10" t="str">
        <f t="shared" si="17"/>
        <v/>
      </c>
      <c r="AZ327" s="10" t="str">
        <f t="shared" si="17"/>
        <v/>
      </c>
      <c r="BA327" s="10" t="str">
        <f t="shared" si="17"/>
        <v/>
      </c>
      <c r="BB327" s="10" t="str">
        <f t="shared" si="17"/>
        <v/>
      </c>
      <c r="BC327" s="10" t="str">
        <f t="shared" si="17"/>
        <v/>
      </c>
      <c r="BD327" s="10" t="str">
        <f t="shared" si="17"/>
        <v/>
      </c>
      <c r="BE327" s="10" t="str">
        <f t="shared" si="17"/>
        <v/>
      </c>
      <c r="BF327" s="10" t="str">
        <f t="shared" si="17"/>
        <v/>
      </c>
      <c r="BG327" s="10" t="str">
        <f t="shared" si="17"/>
        <v/>
      </c>
      <c r="BH327" s="10" t="str">
        <f t="shared" si="17"/>
        <v/>
      </c>
      <c r="BI327" s="10" t="str">
        <f t="shared" si="17"/>
        <v/>
      </c>
      <c r="BJ327" s="10" t="str">
        <f t="shared" si="17"/>
        <v/>
      </c>
      <c r="BK327" s="10" t="str">
        <f t="shared" si="17"/>
        <v/>
      </c>
      <c r="BL327" s="10" t="str">
        <f t="shared" si="17"/>
        <v/>
      </c>
    </row>
    <row r="328" spans="2:64" hidden="1" x14ac:dyDescent="0.35">
      <c r="B328" s="23" t="s">
        <v>118</v>
      </c>
      <c r="C328" s="9"/>
      <c r="D328" s="9"/>
      <c r="E328" s="10" t="str">
        <f t="shared" ref="E328:AJ328" si="18">IF(E323=0,"",IF($C$7="EGP",(SUMIFS(E$14:E$81,$BM$14:$BM$81,"Asset",$C$14:$C$81,"EGP",$BO$14:$BO$81,"Limited"))+IFERROR((SUMIFS(E$14:E$81,$BM$14:$BM$81,"Asset",$C$14:$C$81,"USD",$BO$14:$BO$81,"Limited"))*E$11,0),(SUMIFS(E$14:E$81,$BM$14:$BM$81,"Asset",$C$14:$C$81,"USD",$BO$14:$BO$81,"Limited"))+IFERROR((SUMIFS(E$14:E$81,$BM$14:$BM$81,"Asset",$C$14:$C$81,"EGP",$BO$14:$BO$81,"Limited"))/E$11,0)))</f>
        <v/>
      </c>
      <c r="F328" s="10" t="str">
        <f t="shared" si="18"/>
        <v/>
      </c>
      <c r="G328" s="10" t="str">
        <f t="shared" si="18"/>
        <v/>
      </c>
      <c r="H328" s="10" t="str">
        <f t="shared" si="18"/>
        <v/>
      </c>
      <c r="I328" s="10" t="str">
        <f t="shared" si="18"/>
        <v/>
      </c>
      <c r="J328" s="10" t="str">
        <f t="shared" si="18"/>
        <v/>
      </c>
      <c r="K328" s="10" t="str">
        <f t="shared" si="18"/>
        <v/>
      </c>
      <c r="L328" s="10" t="str">
        <f t="shared" si="18"/>
        <v/>
      </c>
      <c r="M328" s="10" t="str">
        <f t="shared" si="18"/>
        <v/>
      </c>
      <c r="N328" s="10" t="str">
        <f t="shared" si="18"/>
        <v/>
      </c>
      <c r="O328" s="10" t="str">
        <f t="shared" si="18"/>
        <v/>
      </c>
      <c r="P328" s="10" t="str">
        <f t="shared" si="18"/>
        <v/>
      </c>
      <c r="Q328" s="10" t="str">
        <f t="shared" si="18"/>
        <v/>
      </c>
      <c r="R328" s="10" t="str">
        <f t="shared" si="18"/>
        <v/>
      </c>
      <c r="S328" s="10" t="str">
        <f t="shared" si="18"/>
        <v/>
      </c>
      <c r="T328" s="10" t="str">
        <f t="shared" si="18"/>
        <v/>
      </c>
      <c r="U328" s="10" t="str">
        <f t="shared" si="18"/>
        <v/>
      </c>
      <c r="V328" s="10" t="str">
        <f t="shared" si="18"/>
        <v/>
      </c>
      <c r="W328" s="10" t="str">
        <f t="shared" si="18"/>
        <v/>
      </c>
      <c r="X328" s="10" t="str">
        <f t="shared" si="18"/>
        <v/>
      </c>
      <c r="Y328" s="10" t="str">
        <f t="shared" si="18"/>
        <v/>
      </c>
      <c r="Z328" s="10" t="str">
        <f t="shared" si="18"/>
        <v/>
      </c>
      <c r="AA328" s="10" t="str">
        <f t="shared" si="18"/>
        <v/>
      </c>
      <c r="AB328" s="10" t="str">
        <f t="shared" si="18"/>
        <v/>
      </c>
      <c r="AC328" s="10" t="str">
        <f t="shared" si="18"/>
        <v/>
      </c>
      <c r="AD328" s="10" t="str">
        <f t="shared" si="18"/>
        <v/>
      </c>
      <c r="AE328" s="10" t="str">
        <f t="shared" si="18"/>
        <v/>
      </c>
      <c r="AF328" s="10" t="str">
        <f t="shared" si="18"/>
        <v/>
      </c>
      <c r="AG328" s="10" t="str">
        <f t="shared" si="18"/>
        <v/>
      </c>
      <c r="AH328" s="10" t="str">
        <f t="shared" si="18"/>
        <v/>
      </c>
      <c r="AI328" s="10" t="str">
        <f t="shared" si="18"/>
        <v/>
      </c>
      <c r="AJ328" s="10" t="str">
        <f t="shared" si="18"/>
        <v/>
      </c>
      <c r="AK328" s="10" t="str">
        <f t="shared" ref="AK328:BL328" si="19">IF(AK323=0,"",IF($C$7="EGP",(SUMIFS(AK$14:AK$81,$BM$14:$BM$81,"Asset",$C$14:$C$81,"EGP",$BO$14:$BO$81,"Limited"))+IFERROR((SUMIFS(AK$14:AK$81,$BM$14:$BM$81,"Asset",$C$14:$C$81,"USD",$BO$14:$BO$81,"Limited"))*AK$11,0),(SUMIFS(AK$14:AK$81,$BM$14:$BM$81,"Asset",$C$14:$C$81,"USD",$BO$14:$BO$81,"Limited"))+IFERROR((SUMIFS(AK$14:AK$81,$BM$14:$BM$81,"Asset",$C$14:$C$81,"EGP",$BO$14:$BO$81,"Limited"))/AK$11,0)))</f>
        <v/>
      </c>
      <c r="AL328" s="10" t="str">
        <f t="shared" si="19"/>
        <v/>
      </c>
      <c r="AM328" s="10" t="str">
        <f t="shared" si="19"/>
        <v/>
      </c>
      <c r="AN328" s="10" t="str">
        <f t="shared" si="19"/>
        <v/>
      </c>
      <c r="AO328" s="10" t="str">
        <f t="shared" si="19"/>
        <v/>
      </c>
      <c r="AP328" s="10" t="str">
        <f t="shared" si="19"/>
        <v/>
      </c>
      <c r="AQ328" s="10" t="str">
        <f t="shared" si="19"/>
        <v/>
      </c>
      <c r="AR328" s="10" t="str">
        <f t="shared" si="19"/>
        <v/>
      </c>
      <c r="AS328" s="10" t="str">
        <f t="shared" si="19"/>
        <v/>
      </c>
      <c r="AT328" s="10" t="str">
        <f t="shared" si="19"/>
        <v/>
      </c>
      <c r="AU328" s="10" t="str">
        <f t="shared" si="19"/>
        <v/>
      </c>
      <c r="AV328" s="10" t="str">
        <f t="shared" si="19"/>
        <v/>
      </c>
      <c r="AW328" s="10" t="str">
        <f t="shared" si="19"/>
        <v/>
      </c>
      <c r="AX328" s="10" t="str">
        <f t="shared" si="19"/>
        <v/>
      </c>
      <c r="AY328" s="10" t="str">
        <f t="shared" si="19"/>
        <v/>
      </c>
      <c r="AZ328" s="10" t="str">
        <f t="shared" si="19"/>
        <v/>
      </c>
      <c r="BA328" s="10" t="str">
        <f t="shared" si="19"/>
        <v/>
      </c>
      <c r="BB328" s="10" t="str">
        <f t="shared" si="19"/>
        <v/>
      </c>
      <c r="BC328" s="10" t="str">
        <f t="shared" si="19"/>
        <v/>
      </c>
      <c r="BD328" s="10" t="str">
        <f t="shared" si="19"/>
        <v/>
      </c>
      <c r="BE328" s="10" t="str">
        <f t="shared" si="19"/>
        <v/>
      </c>
      <c r="BF328" s="10" t="str">
        <f t="shared" si="19"/>
        <v/>
      </c>
      <c r="BG328" s="10" t="str">
        <f t="shared" si="19"/>
        <v/>
      </c>
      <c r="BH328" s="10" t="str">
        <f t="shared" si="19"/>
        <v/>
      </c>
      <c r="BI328" s="10" t="str">
        <f t="shared" si="19"/>
        <v/>
      </c>
      <c r="BJ328" s="10" t="str">
        <f t="shared" si="19"/>
        <v/>
      </c>
      <c r="BK328" s="10" t="str">
        <f t="shared" si="19"/>
        <v/>
      </c>
      <c r="BL328" s="10" t="str">
        <f t="shared" si="19"/>
        <v/>
      </c>
    </row>
    <row r="329" spans="2:64" hidden="1" x14ac:dyDescent="0.35">
      <c r="B329" s="23" t="s">
        <v>119</v>
      </c>
      <c r="C329" s="9"/>
      <c r="D329" s="9"/>
      <c r="E329" s="10" t="str">
        <f t="shared" ref="E329:AJ329" si="20">IF(E323=0,"",IF($C$7="EGP",(SUMIFS(E$14:E$81,$BM$14:$BM$81,"Asset",$C$14:$C$81,"EGP",$BO$14:$BO$81,"Illiquid"))+IFERROR((SUMIFS(E$14:E$81,$BM$14:$BM$81,"Asset",$C$14:$C$81,"USD",$BO$14:$BO$81,"Illiquid"))*E$11,0),(SUMIFS(E$14:E$81,$BM$14:$BM$81,"Asset",$C$14:$C$81,"USD",$BO$14:$BO$81,"Illiquid"))+IFERROR((SUMIFS(E$14:E$81,$BM$14:$BM$81,"Asset",$C$14:$C$81,"EGP",$BO$14:$BO$81,"Illiquid"))/E$11,0)))</f>
        <v/>
      </c>
      <c r="F329" s="10" t="str">
        <f t="shared" si="20"/>
        <v/>
      </c>
      <c r="G329" s="10" t="str">
        <f t="shared" si="20"/>
        <v/>
      </c>
      <c r="H329" s="10" t="str">
        <f t="shared" si="20"/>
        <v/>
      </c>
      <c r="I329" s="10" t="str">
        <f t="shared" si="20"/>
        <v/>
      </c>
      <c r="J329" s="10" t="str">
        <f t="shared" si="20"/>
        <v/>
      </c>
      <c r="K329" s="10" t="str">
        <f t="shared" si="20"/>
        <v/>
      </c>
      <c r="L329" s="10" t="str">
        <f t="shared" si="20"/>
        <v/>
      </c>
      <c r="M329" s="10" t="str">
        <f t="shared" si="20"/>
        <v/>
      </c>
      <c r="N329" s="10" t="str">
        <f t="shared" si="20"/>
        <v/>
      </c>
      <c r="O329" s="10" t="str">
        <f t="shared" si="20"/>
        <v/>
      </c>
      <c r="P329" s="10" t="str">
        <f t="shared" si="20"/>
        <v/>
      </c>
      <c r="Q329" s="10" t="str">
        <f t="shared" si="20"/>
        <v/>
      </c>
      <c r="R329" s="10" t="str">
        <f t="shared" si="20"/>
        <v/>
      </c>
      <c r="S329" s="10" t="str">
        <f t="shared" si="20"/>
        <v/>
      </c>
      <c r="T329" s="10" t="str">
        <f t="shared" si="20"/>
        <v/>
      </c>
      <c r="U329" s="10" t="str">
        <f t="shared" si="20"/>
        <v/>
      </c>
      <c r="V329" s="10" t="str">
        <f t="shared" si="20"/>
        <v/>
      </c>
      <c r="W329" s="10" t="str">
        <f t="shared" si="20"/>
        <v/>
      </c>
      <c r="X329" s="10" t="str">
        <f t="shared" si="20"/>
        <v/>
      </c>
      <c r="Y329" s="10" t="str">
        <f t="shared" si="20"/>
        <v/>
      </c>
      <c r="Z329" s="10" t="str">
        <f t="shared" si="20"/>
        <v/>
      </c>
      <c r="AA329" s="10" t="str">
        <f t="shared" si="20"/>
        <v/>
      </c>
      <c r="AB329" s="10" t="str">
        <f t="shared" si="20"/>
        <v/>
      </c>
      <c r="AC329" s="10" t="str">
        <f t="shared" si="20"/>
        <v/>
      </c>
      <c r="AD329" s="10" t="str">
        <f t="shared" si="20"/>
        <v/>
      </c>
      <c r="AE329" s="10" t="str">
        <f t="shared" si="20"/>
        <v/>
      </c>
      <c r="AF329" s="10" t="str">
        <f t="shared" si="20"/>
        <v/>
      </c>
      <c r="AG329" s="10" t="str">
        <f t="shared" si="20"/>
        <v/>
      </c>
      <c r="AH329" s="10" t="str">
        <f t="shared" si="20"/>
        <v/>
      </c>
      <c r="AI329" s="10" t="str">
        <f t="shared" si="20"/>
        <v/>
      </c>
      <c r="AJ329" s="10" t="str">
        <f t="shared" si="20"/>
        <v/>
      </c>
      <c r="AK329" s="10" t="str">
        <f t="shared" ref="AK329:BL329" si="21">IF(AK323=0,"",IF($C$7="EGP",(SUMIFS(AK$14:AK$81,$BM$14:$BM$81,"Asset",$C$14:$C$81,"EGP",$BO$14:$BO$81,"Illiquid"))+IFERROR((SUMIFS(AK$14:AK$81,$BM$14:$BM$81,"Asset",$C$14:$C$81,"USD",$BO$14:$BO$81,"Illiquid"))*AK$11,0),(SUMIFS(AK$14:AK$81,$BM$14:$BM$81,"Asset",$C$14:$C$81,"USD",$BO$14:$BO$81,"Illiquid"))+IFERROR((SUMIFS(AK$14:AK$81,$BM$14:$BM$81,"Asset",$C$14:$C$81,"EGP",$BO$14:$BO$81,"Illiquid"))/AK$11,0)))</f>
        <v/>
      </c>
      <c r="AL329" s="10" t="str">
        <f t="shared" si="21"/>
        <v/>
      </c>
      <c r="AM329" s="10" t="str">
        <f t="shared" si="21"/>
        <v/>
      </c>
      <c r="AN329" s="10" t="str">
        <f t="shared" si="21"/>
        <v/>
      </c>
      <c r="AO329" s="10" t="str">
        <f t="shared" si="21"/>
        <v/>
      </c>
      <c r="AP329" s="10" t="str">
        <f t="shared" si="21"/>
        <v/>
      </c>
      <c r="AQ329" s="10" t="str">
        <f t="shared" si="21"/>
        <v/>
      </c>
      <c r="AR329" s="10" t="str">
        <f t="shared" si="21"/>
        <v/>
      </c>
      <c r="AS329" s="10" t="str">
        <f t="shared" si="21"/>
        <v/>
      </c>
      <c r="AT329" s="10" t="str">
        <f t="shared" si="21"/>
        <v/>
      </c>
      <c r="AU329" s="10" t="str">
        <f t="shared" si="21"/>
        <v/>
      </c>
      <c r="AV329" s="10" t="str">
        <f t="shared" si="21"/>
        <v/>
      </c>
      <c r="AW329" s="10" t="str">
        <f t="shared" si="21"/>
        <v/>
      </c>
      <c r="AX329" s="10" t="str">
        <f t="shared" si="21"/>
        <v/>
      </c>
      <c r="AY329" s="10" t="str">
        <f t="shared" si="21"/>
        <v/>
      </c>
      <c r="AZ329" s="10" t="str">
        <f t="shared" si="21"/>
        <v/>
      </c>
      <c r="BA329" s="10" t="str">
        <f t="shared" si="21"/>
        <v/>
      </c>
      <c r="BB329" s="10" t="str">
        <f t="shared" si="21"/>
        <v/>
      </c>
      <c r="BC329" s="10" t="str">
        <f t="shared" si="21"/>
        <v/>
      </c>
      <c r="BD329" s="10" t="str">
        <f t="shared" si="21"/>
        <v/>
      </c>
      <c r="BE329" s="10" t="str">
        <f t="shared" si="21"/>
        <v/>
      </c>
      <c r="BF329" s="10" t="str">
        <f t="shared" si="21"/>
        <v/>
      </c>
      <c r="BG329" s="10" t="str">
        <f t="shared" si="21"/>
        <v/>
      </c>
      <c r="BH329" s="10" t="str">
        <f t="shared" si="21"/>
        <v/>
      </c>
      <c r="BI329" s="10" t="str">
        <f t="shared" si="21"/>
        <v/>
      </c>
      <c r="BJ329" s="10" t="str">
        <f t="shared" si="21"/>
        <v/>
      </c>
      <c r="BK329" s="10" t="str">
        <f t="shared" si="21"/>
        <v/>
      </c>
      <c r="BL329" s="10" t="str">
        <f t="shared" si="21"/>
        <v/>
      </c>
    </row>
    <row r="330" spans="2:64" hidden="1" x14ac:dyDescent="0.35">
      <c r="B330" s="23" t="s">
        <v>28</v>
      </c>
      <c r="C330" s="9"/>
      <c r="D330" s="9"/>
      <c r="E330" s="10" t="str">
        <f t="shared" ref="E330:AJ330" si="22">IF(E323=0,"",IF($C$7="USD",SUMIFS(E$14:E$81,$BM$14:$BM$81,"Asset",$C$14:$C$81,"USD"),IFERROR(SUMIFS(E$14:E$81,$BM$14:$BM$81,"Asset",$C$14:$C$81,"USD")*E$11,0)))</f>
        <v/>
      </c>
      <c r="F330" s="10" t="str">
        <f t="shared" si="22"/>
        <v/>
      </c>
      <c r="G330" s="10" t="str">
        <f t="shared" si="22"/>
        <v/>
      </c>
      <c r="H330" s="10" t="str">
        <f t="shared" si="22"/>
        <v/>
      </c>
      <c r="I330" s="10" t="str">
        <f t="shared" si="22"/>
        <v/>
      </c>
      <c r="J330" s="10" t="str">
        <f t="shared" si="22"/>
        <v/>
      </c>
      <c r="K330" s="10" t="str">
        <f t="shared" si="22"/>
        <v/>
      </c>
      <c r="L330" s="10" t="str">
        <f t="shared" si="22"/>
        <v/>
      </c>
      <c r="M330" s="10" t="str">
        <f t="shared" si="22"/>
        <v/>
      </c>
      <c r="N330" s="10" t="str">
        <f t="shared" si="22"/>
        <v/>
      </c>
      <c r="O330" s="10" t="str">
        <f t="shared" si="22"/>
        <v/>
      </c>
      <c r="P330" s="10" t="str">
        <f t="shared" si="22"/>
        <v/>
      </c>
      <c r="Q330" s="10" t="str">
        <f t="shared" si="22"/>
        <v/>
      </c>
      <c r="R330" s="10" t="str">
        <f t="shared" si="22"/>
        <v/>
      </c>
      <c r="S330" s="10" t="str">
        <f t="shared" si="22"/>
        <v/>
      </c>
      <c r="T330" s="10" t="str">
        <f t="shared" si="22"/>
        <v/>
      </c>
      <c r="U330" s="10" t="str">
        <f t="shared" si="22"/>
        <v/>
      </c>
      <c r="V330" s="10" t="str">
        <f t="shared" si="22"/>
        <v/>
      </c>
      <c r="W330" s="10" t="str">
        <f t="shared" si="22"/>
        <v/>
      </c>
      <c r="X330" s="10" t="str">
        <f t="shared" si="22"/>
        <v/>
      </c>
      <c r="Y330" s="10" t="str">
        <f t="shared" si="22"/>
        <v/>
      </c>
      <c r="Z330" s="10" t="str">
        <f t="shared" si="22"/>
        <v/>
      </c>
      <c r="AA330" s="10" t="str">
        <f t="shared" si="22"/>
        <v/>
      </c>
      <c r="AB330" s="10" t="str">
        <f t="shared" si="22"/>
        <v/>
      </c>
      <c r="AC330" s="10" t="str">
        <f t="shared" si="22"/>
        <v/>
      </c>
      <c r="AD330" s="10" t="str">
        <f t="shared" si="22"/>
        <v/>
      </c>
      <c r="AE330" s="10" t="str">
        <f t="shared" si="22"/>
        <v/>
      </c>
      <c r="AF330" s="10" t="str">
        <f t="shared" si="22"/>
        <v/>
      </c>
      <c r="AG330" s="10" t="str">
        <f t="shared" si="22"/>
        <v/>
      </c>
      <c r="AH330" s="10" t="str">
        <f t="shared" si="22"/>
        <v/>
      </c>
      <c r="AI330" s="10" t="str">
        <f t="shared" si="22"/>
        <v/>
      </c>
      <c r="AJ330" s="10" t="str">
        <f t="shared" si="22"/>
        <v/>
      </c>
      <c r="AK330" s="10" t="str">
        <f t="shared" ref="AK330:BL330" si="23">IF(AK323=0,"",IF($C$7="USD",SUMIFS(AK$14:AK$81,$BM$14:$BM$81,"Asset",$C$14:$C$81,"USD"),IFERROR(SUMIFS(AK$14:AK$81,$BM$14:$BM$81,"Asset",$C$14:$C$81,"USD")*AK$11,0)))</f>
        <v/>
      </c>
      <c r="AL330" s="10" t="str">
        <f t="shared" si="23"/>
        <v/>
      </c>
      <c r="AM330" s="10" t="str">
        <f t="shared" si="23"/>
        <v/>
      </c>
      <c r="AN330" s="10" t="str">
        <f t="shared" si="23"/>
        <v/>
      </c>
      <c r="AO330" s="10" t="str">
        <f t="shared" si="23"/>
        <v/>
      </c>
      <c r="AP330" s="10" t="str">
        <f t="shared" si="23"/>
        <v/>
      </c>
      <c r="AQ330" s="10" t="str">
        <f t="shared" si="23"/>
        <v/>
      </c>
      <c r="AR330" s="10" t="str">
        <f t="shared" si="23"/>
        <v/>
      </c>
      <c r="AS330" s="10" t="str">
        <f t="shared" si="23"/>
        <v/>
      </c>
      <c r="AT330" s="10" t="str">
        <f t="shared" si="23"/>
        <v/>
      </c>
      <c r="AU330" s="10" t="str">
        <f t="shared" si="23"/>
        <v/>
      </c>
      <c r="AV330" s="10" t="str">
        <f t="shared" si="23"/>
        <v/>
      </c>
      <c r="AW330" s="10" t="str">
        <f t="shared" si="23"/>
        <v/>
      </c>
      <c r="AX330" s="10" t="str">
        <f t="shared" si="23"/>
        <v/>
      </c>
      <c r="AY330" s="10" t="str">
        <f t="shared" si="23"/>
        <v/>
      </c>
      <c r="AZ330" s="10" t="str">
        <f t="shared" si="23"/>
        <v/>
      </c>
      <c r="BA330" s="10" t="str">
        <f t="shared" si="23"/>
        <v/>
      </c>
      <c r="BB330" s="10" t="str">
        <f t="shared" si="23"/>
        <v/>
      </c>
      <c r="BC330" s="10" t="str">
        <f t="shared" si="23"/>
        <v/>
      </c>
      <c r="BD330" s="10" t="str">
        <f t="shared" si="23"/>
        <v/>
      </c>
      <c r="BE330" s="10" t="str">
        <f t="shared" si="23"/>
        <v/>
      </c>
      <c r="BF330" s="10" t="str">
        <f t="shared" si="23"/>
        <v/>
      </c>
      <c r="BG330" s="10" t="str">
        <f t="shared" si="23"/>
        <v/>
      </c>
      <c r="BH330" s="10" t="str">
        <f t="shared" si="23"/>
        <v/>
      </c>
      <c r="BI330" s="10" t="str">
        <f t="shared" si="23"/>
        <v/>
      </c>
      <c r="BJ330" s="10" t="str">
        <f t="shared" si="23"/>
        <v/>
      </c>
      <c r="BK330" s="10" t="str">
        <f t="shared" si="23"/>
        <v/>
      </c>
      <c r="BL330" s="10" t="str">
        <f t="shared" si="23"/>
        <v/>
      </c>
    </row>
    <row r="331" spans="2:64" hidden="1" x14ac:dyDescent="0.35">
      <c r="B331" s="23" t="s">
        <v>15</v>
      </c>
      <c r="C331" s="9"/>
      <c r="D331" s="9"/>
      <c r="E331" s="10" t="str">
        <f t="shared" ref="E331:AJ331" si="24">IF(E323=0,"",IF($C$7="EGP",SUMIFS(E$14:E$81,$BM$14:$BM$81,"Asset",$C$14:$C$81,"EGP"),IFERROR(SUMIFS(E$14:E$81,$BM$14:$BM$81,"Asset",$C$14:$C$81,"EGP")/E$11,0)))</f>
        <v/>
      </c>
      <c r="F331" s="10" t="str">
        <f t="shared" si="24"/>
        <v/>
      </c>
      <c r="G331" s="10" t="str">
        <f t="shared" si="24"/>
        <v/>
      </c>
      <c r="H331" s="10" t="str">
        <f t="shared" si="24"/>
        <v/>
      </c>
      <c r="I331" s="10" t="str">
        <f t="shared" si="24"/>
        <v/>
      </c>
      <c r="J331" s="10" t="str">
        <f t="shared" si="24"/>
        <v/>
      </c>
      <c r="K331" s="10" t="str">
        <f t="shared" si="24"/>
        <v/>
      </c>
      <c r="L331" s="10" t="str">
        <f t="shared" si="24"/>
        <v/>
      </c>
      <c r="M331" s="10" t="str">
        <f t="shared" si="24"/>
        <v/>
      </c>
      <c r="N331" s="10" t="str">
        <f t="shared" si="24"/>
        <v/>
      </c>
      <c r="O331" s="10" t="str">
        <f t="shared" si="24"/>
        <v/>
      </c>
      <c r="P331" s="10" t="str">
        <f t="shared" si="24"/>
        <v/>
      </c>
      <c r="Q331" s="10" t="str">
        <f t="shared" si="24"/>
        <v/>
      </c>
      <c r="R331" s="10" t="str">
        <f t="shared" si="24"/>
        <v/>
      </c>
      <c r="S331" s="10" t="str">
        <f t="shared" si="24"/>
        <v/>
      </c>
      <c r="T331" s="10" t="str">
        <f t="shared" si="24"/>
        <v/>
      </c>
      <c r="U331" s="10" t="str">
        <f t="shared" si="24"/>
        <v/>
      </c>
      <c r="V331" s="10" t="str">
        <f t="shared" si="24"/>
        <v/>
      </c>
      <c r="W331" s="10" t="str">
        <f t="shared" si="24"/>
        <v/>
      </c>
      <c r="X331" s="10" t="str">
        <f t="shared" si="24"/>
        <v/>
      </c>
      <c r="Y331" s="10" t="str">
        <f t="shared" si="24"/>
        <v/>
      </c>
      <c r="Z331" s="10" t="str">
        <f t="shared" si="24"/>
        <v/>
      </c>
      <c r="AA331" s="10" t="str">
        <f t="shared" si="24"/>
        <v/>
      </c>
      <c r="AB331" s="10" t="str">
        <f t="shared" si="24"/>
        <v/>
      </c>
      <c r="AC331" s="10" t="str">
        <f t="shared" si="24"/>
        <v/>
      </c>
      <c r="AD331" s="10" t="str">
        <f t="shared" si="24"/>
        <v/>
      </c>
      <c r="AE331" s="10" t="str">
        <f t="shared" si="24"/>
        <v/>
      </c>
      <c r="AF331" s="10" t="str">
        <f t="shared" si="24"/>
        <v/>
      </c>
      <c r="AG331" s="10" t="str">
        <f t="shared" si="24"/>
        <v/>
      </c>
      <c r="AH331" s="10" t="str">
        <f t="shared" si="24"/>
        <v/>
      </c>
      <c r="AI331" s="10" t="str">
        <f t="shared" si="24"/>
        <v/>
      </c>
      <c r="AJ331" s="10" t="str">
        <f t="shared" si="24"/>
        <v/>
      </c>
      <c r="AK331" s="10" t="str">
        <f t="shared" ref="AK331:BL331" si="25">IF(AK323=0,"",IF($C$7="EGP",SUMIFS(AK$14:AK$81,$BM$14:$BM$81,"Asset",$C$14:$C$81,"EGP"),IFERROR(SUMIFS(AK$14:AK$81,$BM$14:$BM$81,"Asset",$C$14:$C$81,"EGP")/AK$11,0)))</f>
        <v/>
      </c>
      <c r="AL331" s="10" t="str">
        <f t="shared" si="25"/>
        <v/>
      </c>
      <c r="AM331" s="10" t="str">
        <f t="shared" si="25"/>
        <v/>
      </c>
      <c r="AN331" s="10" t="str">
        <f t="shared" si="25"/>
        <v/>
      </c>
      <c r="AO331" s="10" t="str">
        <f t="shared" si="25"/>
        <v/>
      </c>
      <c r="AP331" s="10" t="str">
        <f t="shared" si="25"/>
        <v/>
      </c>
      <c r="AQ331" s="10" t="str">
        <f t="shared" si="25"/>
        <v/>
      </c>
      <c r="AR331" s="10" t="str">
        <f t="shared" si="25"/>
        <v/>
      </c>
      <c r="AS331" s="10" t="str">
        <f t="shared" si="25"/>
        <v/>
      </c>
      <c r="AT331" s="10" t="str">
        <f t="shared" si="25"/>
        <v/>
      </c>
      <c r="AU331" s="10" t="str">
        <f t="shared" si="25"/>
        <v/>
      </c>
      <c r="AV331" s="10" t="str">
        <f t="shared" si="25"/>
        <v/>
      </c>
      <c r="AW331" s="10" t="str">
        <f t="shared" si="25"/>
        <v/>
      </c>
      <c r="AX331" s="10" t="str">
        <f t="shared" si="25"/>
        <v/>
      </c>
      <c r="AY331" s="10" t="str">
        <f t="shared" si="25"/>
        <v/>
      </c>
      <c r="AZ331" s="10" t="str">
        <f t="shared" si="25"/>
        <v/>
      </c>
      <c r="BA331" s="10" t="str">
        <f t="shared" si="25"/>
        <v/>
      </c>
      <c r="BB331" s="10" t="str">
        <f t="shared" si="25"/>
        <v/>
      </c>
      <c r="BC331" s="10" t="str">
        <f t="shared" si="25"/>
        <v/>
      </c>
      <c r="BD331" s="10" t="str">
        <f t="shared" si="25"/>
        <v/>
      </c>
      <c r="BE331" s="10" t="str">
        <f t="shared" si="25"/>
        <v/>
      </c>
      <c r="BF331" s="10" t="str">
        <f t="shared" si="25"/>
        <v/>
      </c>
      <c r="BG331" s="10" t="str">
        <f t="shared" si="25"/>
        <v/>
      </c>
      <c r="BH331" s="10" t="str">
        <f t="shared" si="25"/>
        <v/>
      </c>
      <c r="BI331" s="10" t="str">
        <f t="shared" si="25"/>
        <v/>
      </c>
      <c r="BJ331" s="10" t="str">
        <f t="shared" si="25"/>
        <v/>
      </c>
      <c r="BK331" s="10" t="str">
        <f t="shared" si="25"/>
        <v/>
      </c>
      <c r="BL331" s="10" t="str">
        <f t="shared" si="25"/>
        <v/>
      </c>
    </row>
    <row r="332" spans="2:64" hidden="1" x14ac:dyDescent="0.35">
      <c r="B332" s="23" t="s">
        <v>120</v>
      </c>
      <c r="C332" s="9"/>
      <c r="D332" s="9"/>
      <c r="E332" s="10" t="str">
        <f t="shared" ref="E332:AJ332" si="26">IF(OR(E323=0,E388&gt;0),"",SUM(IF(ISNUMBER(E14),IFERROR(IF($C14=$C$7,E14,IF($C14="USD",E14*E$11,E14/E$11))*IF($D14="",1,$D14),0),0),IF(ISNUMBER(E15),IFERROR(IF($C15=$C$7,E15,IF($C15="USD",E15*E$11,E15/E$11))*IF($D15="",1,$D15),0),0),IF(ISNUMBER(E16),IFERROR(IF($C16=$C$7,E16,IF($C16="USD",E16*E$11,E16/E$11))*IF($D16="",1,$D16),0),0),IF(ISNUMBER(E17),IFERROR(IF($C17=$C$7,E17,IF($C17="USD",E17*E$11,E17/E$11))*IF($D17="",1,$D17),0),0),IF(ISNUMBER(E18),IFERROR(IF($C18=$C$7,E18,IF($C18="USD",E18*E$11,E18/E$11))*IF($D18="",1,$D18),0),0),IF(ISNUMBER(E21),IFERROR(IF($C21=$C$7,E21,IF($C21="USD",E21*E$11,E21/E$11))*IF($D21="",1,$D21),0),0),IF(ISNUMBER(E22),IFERROR(IF($C22=$C$7,E22,IF($C22="USD",E22*E$11,E22/E$11))*IF($D22="",1,$D22),0),0),IF(ISNUMBER(E23),IFERROR(IF($C23=$C$7,E23,IF($C23="USD",E23*E$11,E23/E$11))*IF($D23="",1,$D23),0),0),IF(ISNUMBER(E24),IFERROR(IF($C24=$C$7,E24,IF($C24="USD",E24*E$11,E24/E$11))*IF($D24="",1,$D24),0),0),IF(ISNUMBER(E27),IFERROR(IF($C27=$C$7,E27,IF($C27="USD",E27*E$11,E27/E$11))*IF($D27="",1,$D27),0),0),IF(ISNUMBER(E28),IFERROR(IF($C28=$C$7,E28,IF($C28="USD",E28*E$11,E28/E$11))*IF($D28="",1,$D28),0),0),IF(ISNUMBER(E29),IFERROR(IF($C29=$C$7,E29,IF($C29="USD",E29*E$11,E29/E$11))*IF($D29="",1,$D29),0),0),IF(ISNUMBER(E33),IFERROR(IF($C33=$C$7,E33,IF($C33="USD",E33*E$11,E33/E$11))*IF($D33="",1,$D33),0),0),IF(ISNUMBER(E34),IFERROR(IF($C34=$C$7,E34,IF($C34="USD",E34*E$11,E34/E$11))*IF($D34="",1,$D34),0),0),IF(ISNUMBER(E35),IFERROR(IF($C35=$C$7,E35,IF($C35="USD",E35*E$11,E35/E$11))*IF($D35="",1,$D35),0),0),IF(ISNUMBER(E36),IFERROR(IF($C36=$C$7,E36,IF($C36="USD",E36*E$11,E36/E$11))*IF($D36="",1,$D36),0),0),IF(ISNUMBER(E39),IFERROR(IF($C39=$C$7,E39,IF($C39="USD",E39*E$11,E39/E$11))*IF($D39="",1,$D39),0),0),IF(ISNUMBER(E40),IFERROR(IF($C40=$C$7,E40,IF($C40="USD",E40*E$11,E40/E$11))*IF($D40="",1,$D40),0),0),IF(ISNUMBER(E53),IFERROR(IF($C53=$C$7,E53,IF($C53="USD",E53*E$11,E53/E$11))*IF($D53="",1,$D53),0),0),IF(ISNUMBER(E54),IFERROR(IF($C54=$C$7,E54,IF($C54="USD",E54*E$11,E54/E$11))*IF($D54="",1,$D54),0),0),IF(ISNUMBER(E55),IFERROR(IF($C55=$C$7,E55,IF($C55="USD",E55*E$11,E55/E$11))*IF($D55="",1,$D55),0),0),IF(ISNUMBER(E56),IFERROR(IF($C56=$C$7,E56,IF($C56="USD",E56*E$11,E56/E$11))*IF($D56="",1,$D56),0),0),IF(ISNUMBER(E57),IFERROR(IF($C57=$C$7,E57,IF($C57="USD",E57*E$11,E57/E$11))*IF($D57="",1,$D57),0),0),IF(ISNUMBER(E58),IFERROR(IF($C58=$C$7,E58,IF($C58="USD",E58*E$11,E58/E$11))*IF($D58="",1,$D58),0),0),IF(ISNUMBER(E61),IFERROR(IF($C61=$C$7,E61,IF($C61="USD",E61*E$11,E61/E$11))*IF($D61="",1,$D61),0),0),IF(ISNUMBER(E62),IFERROR(IF($C62=$C$7,E62,IF($C62="USD",E62*E$11,E62/E$11))*IF($D62="",1,$D62),0),0),IF(ISNUMBER(E63),IFERROR(IF($C63=$C$7,E63,IF($C63="USD",E63*E$11,E63/E$11))*IF($D63="",1,$D63),0),0),IF(ISNUMBER(E64),IFERROR(IF($C64=$C$7,E64,IF($C64="USD",E64*E$11,E64/E$11))*IF($D64="",1,$D64),0),0),IF(ISNUMBER(E65),IFERROR(IF($C65=$C$7,E65,IF($C65="USD",E65*E$11,E65/E$11))*IF($D65="",1,$D65),0),0),IF(ISNUMBER(E66),IFERROR(IF($C66=$C$7,E66,IF($C66="USD",E66*E$11,E66/E$11))*IF($D66="",1,$D66),0),0),IF(ISNUMBER(E67),IFERROR(IF($C67=$C$7,E67,IF($C67="USD",E67*E$11,E67/E$11))*IF($D67="",1,$D67),0),0),IF(ISNUMBER(E68),IFERROR(IF($C68=$C$7,E68,IF($C68="USD",E68*E$11,E68/E$11))*IF($D68="",1,$D68),0),0),IF(ISNUMBER(E69),IFERROR(IF($C69=$C$7,E69,IF($C69="USD",E69*E$11,E69/E$11))*IF($D69="",1,$D69),0),0),IF(ISNUMBER(E70),IFERROR(IF($C70=$C$7,E70,IF($C70="USD",E70*E$11,E70/E$11))*IF($D70="",1,$D70),0),0),IF(ISNUMBER(E71),IFERROR(IF($C71=$C$7,E71,IF($C71="USD",E71*E$11,E71/E$11))*IF($D71="",1,$D71),0),0))-E325)</f>
        <v/>
      </c>
      <c r="F332" s="10" t="str">
        <f t="shared" si="26"/>
        <v/>
      </c>
      <c r="G332" s="10" t="str">
        <f t="shared" si="26"/>
        <v/>
      </c>
      <c r="H332" s="10" t="str">
        <f t="shared" si="26"/>
        <v/>
      </c>
      <c r="I332" s="10" t="str">
        <f t="shared" si="26"/>
        <v/>
      </c>
      <c r="J332" s="10" t="str">
        <f t="shared" si="26"/>
        <v/>
      </c>
      <c r="K332" s="10" t="str">
        <f t="shared" si="26"/>
        <v/>
      </c>
      <c r="L332" s="10" t="str">
        <f t="shared" si="26"/>
        <v/>
      </c>
      <c r="M332" s="10" t="str">
        <f t="shared" si="26"/>
        <v/>
      </c>
      <c r="N332" s="10" t="str">
        <f t="shared" si="26"/>
        <v/>
      </c>
      <c r="O332" s="10" t="str">
        <f t="shared" si="26"/>
        <v/>
      </c>
      <c r="P332" s="10" t="str">
        <f t="shared" si="26"/>
        <v/>
      </c>
      <c r="Q332" s="10" t="str">
        <f t="shared" si="26"/>
        <v/>
      </c>
      <c r="R332" s="10" t="str">
        <f t="shared" si="26"/>
        <v/>
      </c>
      <c r="S332" s="10" t="str">
        <f t="shared" si="26"/>
        <v/>
      </c>
      <c r="T332" s="10" t="str">
        <f t="shared" si="26"/>
        <v/>
      </c>
      <c r="U332" s="10" t="str">
        <f t="shared" si="26"/>
        <v/>
      </c>
      <c r="V332" s="10" t="str">
        <f t="shared" si="26"/>
        <v/>
      </c>
      <c r="W332" s="10" t="str">
        <f t="shared" si="26"/>
        <v/>
      </c>
      <c r="X332" s="10" t="str">
        <f t="shared" si="26"/>
        <v/>
      </c>
      <c r="Y332" s="10" t="str">
        <f t="shared" si="26"/>
        <v/>
      </c>
      <c r="Z332" s="10" t="str">
        <f t="shared" si="26"/>
        <v/>
      </c>
      <c r="AA332" s="10" t="str">
        <f t="shared" si="26"/>
        <v/>
      </c>
      <c r="AB332" s="10" t="str">
        <f t="shared" si="26"/>
        <v/>
      </c>
      <c r="AC332" s="10" t="str">
        <f t="shared" si="26"/>
        <v/>
      </c>
      <c r="AD332" s="10" t="str">
        <f t="shared" si="26"/>
        <v/>
      </c>
      <c r="AE332" s="10" t="str">
        <f t="shared" si="26"/>
        <v/>
      </c>
      <c r="AF332" s="10" t="str">
        <f t="shared" si="26"/>
        <v/>
      </c>
      <c r="AG332" s="10" t="str">
        <f t="shared" si="26"/>
        <v/>
      </c>
      <c r="AH332" s="10" t="str">
        <f t="shared" si="26"/>
        <v/>
      </c>
      <c r="AI332" s="10" t="str">
        <f t="shared" si="26"/>
        <v/>
      </c>
      <c r="AJ332" s="10" t="str">
        <f t="shared" si="26"/>
        <v/>
      </c>
      <c r="AK332" s="10" t="str">
        <f t="shared" ref="AK332:BL332" si="27">IF(OR(AK323=0,AK388&gt;0),"",SUM(IF(ISNUMBER(AK14),IFERROR(IF($C14=$C$7,AK14,IF($C14="USD",AK14*AK$11,AK14/AK$11))*IF($D14="",1,$D14),0),0),IF(ISNUMBER(AK15),IFERROR(IF($C15=$C$7,AK15,IF($C15="USD",AK15*AK$11,AK15/AK$11))*IF($D15="",1,$D15),0),0),IF(ISNUMBER(AK16),IFERROR(IF($C16=$C$7,AK16,IF($C16="USD",AK16*AK$11,AK16/AK$11))*IF($D16="",1,$D16),0),0),IF(ISNUMBER(AK17),IFERROR(IF($C17=$C$7,AK17,IF($C17="USD",AK17*AK$11,AK17/AK$11))*IF($D17="",1,$D17),0),0),IF(ISNUMBER(AK18),IFERROR(IF($C18=$C$7,AK18,IF($C18="USD",AK18*AK$11,AK18/AK$11))*IF($D18="",1,$D18),0),0),IF(ISNUMBER(AK21),IFERROR(IF($C21=$C$7,AK21,IF($C21="USD",AK21*AK$11,AK21/AK$11))*IF($D21="",1,$D21),0),0),IF(ISNUMBER(AK22),IFERROR(IF($C22=$C$7,AK22,IF($C22="USD",AK22*AK$11,AK22/AK$11))*IF($D22="",1,$D22),0),0),IF(ISNUMBER(AK23),IFERROR(IF($C23=$C$7,AK23,IF($C23="USD",AK23*AK$11,AK23/AK$11))*IF($D23="",1,$D23),0),0),IF(ISNUMBER(AK24),IFERROR(IF($C24=$C$7,AK24,IF($C24="USD",AK24*AK$11,AK24/AK$11))*IF($D24="",1,$D24),0),0),IF(ISNUMBER(AK27),IFERROR(IF($C27=$C$7,AK27,IF($C27="USD",AK27*AK$11,AK27/AK$11))*IF($D27="",1,$D27),0),0),IF(ISNUMBER(AK28),IFERROR(IF($C28=$C$7,AK28,IF($C28="USD",AK28*AK$11,AK28/AK$11))*IF($D28="",1,$D28),0),0),IF(ISNUMBER(AK29),IFERROR(IF($C29=$C$7,AK29,IF($C29="USD",AK29*AK$11,AK29/AK$11))*IF($D29="",1,$D29),0),0),IF(ISNUMBER(AK33),IFERROR(IF($C33=$C$7,AK33,IF($C33="USD",AK33*AK$11,AK33/AK$11))*IF($D33="",1,$D33),0),0),IF(ISNUMBER(AK34),IFERROR(IF($C34=$C$7,AK34,IF($C34="USD",AK34*AK$11,AK34/AK$11))*IF($D34="",1,$D34),0),0),IF(ISNUMBER(AK35),IFERROR(IF($C35=$C$7,AK35,IF($C35="USD",AK35*AK$11,AK35/AK$11))*IF($D35="",1,$D35),0),0),IF(ISNUMBER(AK36),IFERROR(IF($C36=$C$7,AK36,IF($C36="USD",AK36*AK$11,AK36/AK$11))*IF($D36="",1,$D36),0),0),IF(ISNUMBER(AK39),IFERROR(IF($C39=$C$7,AK39,IF($C39="USD",AK39*AK$11,AK39/AK$11))*IF($D39="",1,$D39),0),0),IF(ISNUMBER(AK40),IFERROR(IF($C40=$C$7,AK40,IF($C40="USD",AK40*AK$11,AK40/AK$11))*IF($D40="",1,$D40),0),0),IF(ISNUMBER(AK53),IFERROR(IF($C53=$C$7,AK53,IF($C53="USD",AK53*AK$11,AK53/AK$11))*IF($D53="",1,$D53),0),0),IF(ISNUMBER(AK54),IFERROR(IF($C54=$C$7,AK54,IF($C54="USD",AK54*AK$11,AK54/AK$11))*IF($D54="",1,$D54),0),0),IF(ISNUMBER(AK55),IFERROR(IF($C55=$C$7,AK55,IF($C55="USD",AK55*AK$11,AK55/AK$11))*IF($D55="",1,$D55),0),0),IF(ISNUMBER(AK56),IFERROR(IF($C56=$C$7,AK56,IF($C56="USD",AK56*AK$11,AK56/AK$11))*IF($D56="",1,$D56),0),0),IF(ISNUMBER(AK57),IFERROR(IF($C57=$C$7,AK57,IF($C57="USD",AK57*AK$11,AK57/AK$11))*IF($D57="",1,$D57),0),0),IF(ISNUMBER(AK58),IFERROR(IF($C58=$C$7,AK58,IF($C58="USD",AK58*AK$11,AK58/AK$11))*IF($D58="",1,$D58),0),0),IF(ISNUMBER(AK61),IFERROR(IF($C61=$C$7,AK61,IF($C61="USD",AK61*AK$11,AK61/AK$11))*IF($D61="",1,$D61),0),0),IF(ISNUMBER(AK62),IFERROR(IF($C62=$C$7,AK62,IF($C62="USD",AK62*AK$11,AK62/AK$11))*IF($D62="",1,$D62),0),0),IF(ISNUMBER(AK63),IFERROR(IF($C63=$C$7,AK63,IF($C63="USD",AK63*AK$11,AK63/AK$11))*IF($D63="",1,$D63),0),0),IF(ISNUMBER(AK64),IFERROR(IF($C64=$C$7,AK64,IF($C64="USD",AK64*AK$11,AK64/AK$11))*IF($D64="",1,$D64),0),0),IF(ISNUMBER(AK65),IFERROR(IF($C65=$C$7,AK65,IF($C65="USD",AK65*AK$11,AK65/AK$11))*IF($D65="",1,$D65),0),0),IF(ISNUMBER(AK66),IFERROR(IF($C66=$C$7,AK66,IF($C66="USD",AK66*AK$11,AK66/AK$11))*IF($D66="",1,$D66),0),0),IF(ISNUMBER(AK67),IFERROR(IF($C67=$C$7,AK67,IF($C67="USD",AK67*AK$11,AK67/AK$11))*IF($D67="",1,$D67),0),0),IF(ISNUMBER(AK68),IFERROR(IF($C68=$C$7,AK68,IF($C68="USD",AK68*AK$11,AK68/AK$11))*IF($D68="",1,$D68),0),0),IF(ISNUMBER(AK69),IFERROR(IF($C69=$C$7,AK69,IF($C69="USD",AK69*AK$11,AK69/AK$11))*IF($D69="",1,$D69),0),0),IF(ISNUMBER(AK70),IFERROR(IF($C70=$C$7,AK70,IF($C70="USD",AK70*AK$11,AK70/AK$11))*IF($D70="",1,$D70),0),0),IF(ISNUMBER(AK71),IFERROR(IF($C71=$C$7,AK71,IF($C71="USD",AK71*AK$11,AK71/AK$11))*IF($D71="",1,$D71),0),0))-AK325)</f>
        <v/>
      </c>
      <c r="AL332" s="10" t="str">
        <f t="shared" si="27"/>
        <v/>
      </c>
      <c r="AM332" s="10" t="str">
        <f t="shared" si="27"/>
        <v/>
      </c>
      <c r="AN332" s="10" t="str">
        <f t="shared" si="27"/>
        <v/>
      </c>
      <c r="AO332" s="10" t="str">
        <f t="shared" si="27"/>
        <v/>
      </c>
      <c r="AP332" s="10" t="str">
        <f t="shared" si="27"/>
        <v/>
      </c>
      <c r="AQ332" s="10" t="str">
        <f t="shared" si="27"/>
        <v/>
      </c>
      <c r="AR332" s="10" t="str">
        <f t="shared" si="27"/>
        <v/>
      </c>
      <c r="AS332" s="10" t="str">
        <f t="shared" si="27"/>
        <v/>
      </c>
      <c r="AT332" s="10" t="str">
        <f t="shared" si="27"/>
        <v/>
      </c>
      <c r="AU332" s="10" t="str">
        <f t="shared" si="27"/>
        <v/>
      </c>
      <c r="AV332" s="10" t="str">
        <f t="shared" si="27"/>
        <v/>
      </c>
      <c r="AW332" s="10" t="str">
        <f t="shared" si="27"/>
        <v/>
      </c>
      <c r="AX332" s="10" t="str">
        <f t="shared" si="27"/>
        <v/>
      </c>
      <c r="AY332" s="10" t="str">
        <f t="shared" si="27"/>
        <v/>
      </c>
      <c r="AZ332" s="10" t="str">
        <f t="shared" si="27"/>
        <v/>
      </c>
      <c r="BA332" s="10" t="str">
        <f t="shared" si="27"/>
        <v/>
      </c>
      <c r="BB332" s="10" t="str">
        <f t="shared" si="27"/>
        <v/>
      </c>
      <c r="BC332" s="10" t="str">
        <f t="shared" si="27"/>
        <v/>
      </c>
      <c r="BD332" s="10" t="str">
        <f t="shared" si="27"/>
        <v/>
      </c>
      <c r="BE332" s="10" t="str">
        <f t="shared" si="27"/>
        <v/>
      </c>
      <c r="BF332" s="10" t="str">
        <f t="shared" si="27"/>
        <v/>
      </c>
      <c r="BG332" s="10" t="str">
        <f t="shared" si="27"/>
        <v/>
      </c>
      <c r="BH332" s="10" t="str">
        <f t="shared" si="27"/>
        <v/>
      </c>
      <c r="BI332" s="10" t="str">
        <f t="shared" si="27"/>
        <v/>
      </c>
      <c r="BJ332" s="10" t="str">
        <f t="shared" si="27"/>
        <v/>
      </c>
      <c r="BK332" s="10" t="str">
        <f t="shared" si="27"/>
        <v/>
      </c>
      <c r="BL332" s="10" t="str">
        <f t="shared" si="27"/>
        <v/>
      </c>
    </row>
    <row r="333" spans="2:64" hidden="1" x14ac:dyDescent="0.35">
      <c r="B333" s="23" t="s">
        <v>121</v>
      </c>
      <c r="C333" s="9"/>
      <c r="D333" s="9"/>
      <c r="E333" s="10" t="str">
        <f t="shared" ref="E333:AJ333" si="28">IF(OR(E323=0,E388&gt;0,E389&gt;0),"",E332+SUM(IF(ISNUMBER(E30),IFERROR(IF($C30=$C$7,E30,IF($C30="USD",E30*E$11,E30/E$11))*IF($D30="",0,$D30),0),0)))</f>
        <v/>
      </c>
      <c r="F333" s="10" t="str">
        <f t="shared" si="28"/>
        <v/>
      </c>
      <c r="G333" s="10" t="str">
        <f t="shared" si="28"/>
        <v/>
      </c>
      <c r="H333" s="10" t="str">
        <f t="shared" si="28"/>
        <v/>
      </c>
      <c r="I333" s="10" t="str">
        <f t="shared" si="28"/>
        <v/>
      </c>
      <c r="J333" s="10" t="str">
        <f t="shared" si="28"/>
        <v/>
      </c>
      <c r="K333" s="10" t="str">
        <f t="shared" si="28"/>
        <v/>
      </c>
      <c r="L333" s="10" t="str">
        <f t="shared" si="28"/>
        <v/>
      </c>
      <c r="M333" s="10" t="str">
        <f t="shared" si="28"/>
        <v/>
      </c>
      <c r="N333" s="10" t="str">
        <f t="shared" si="28"/>
        <v/>
      </c>
      <c r="O333" s="10" t="str">
        <f t="shared" si="28"/>
        <v/>
      </c>
      <c r="P333" s="10" t="str">
        <f t="shared" si="28"/>
        <v/>
      </c>
      <c r="Q333" s="10" t="str">
        <f t="shared" si="28"/>
        <v/>
      </c>
      <c r="R333" s="10" t="str">
        <f t="shared" si="28"/>
        <v/>
      </c>
      <c r="S333" s="10" t="str">
        <f t="shared" si="28"/>
        <v/>
      </c>
      <c r="T333" s="10" t="str">
        <f t="shared" si="28"/>
        <v/>
      </c>
      <c r="U333" s="10" t="str">
        <f t="shared" si="28"/>
        <v/>
      </c>
      <c r="V333" s="10" t="str">
        <f t="shared" si="28"/>
        <v/>
      </c>
      <c r="W333" s="10" t="str">
        <f t="shared" si="28"/>
        <v/>
      </c>
      <c r="X333" s="10" t="str">
        <f t="shared" si="28"/>
        <v/>
      </c>
      <c r="Y333" s="10" t="str">
        <f t="shared" si="28"/>
        <v/>
      </c>
      <c r="Z333" s="10" t="str">
        <f t="shared" si="28"/>
        <v/>
      </c>
      <c r="AA333" s="10" t="str">
        <f t="shared" si="28"/>
        <v/>
      </c>
      <c r="AB333" s="10" t="str">
        <f t="shared" si="28"/>
        <v/>
      </c>
      <c r="AC333" s="10" t="str">
        <f t="shared" si="28"/>
        <v/>
      </c>
      <c r="AD333" s="10" t="str">
        <f t="shared" si="28"/>
        <v/>
      </c>
      <c r="AE333" s="10" t="str">
        <f t="shared" si="28"/>
        <v/>
      </c>
      <c r="AF333" s="10" t="str">
        <f t="shared" si="28"/>
        <v/>
      </c>
      <c r="AG333" s="10" t="str">
        <f t="shared" si="28"/>
        <v/>
      </c>
      <c r="AH333" s="10" t="str">
        <f t="shared" si="28"/>
        <v/>
      </c>
      <c r="AI333" s="10" t="str">
        <f t="shared" si="28"/>
        <v/>
      </c>
      <c r="AJ333" s="10" t="str">
        <f t="shared" si="28"/>
        <v/>
      </c>
      <c r="AK333" s="10" t="str">
        <f t="shared" ref="AK333:BP333" si="29">IF(OR(AK323=0,AK388&gt;0,AK389&gt;0),"",AK332+SUM(IF(ISNUMBER(AK30),IFERROR(IF($C30=$C$7,AK30,IF($C30="USD",AK30*AK$11,AK30/AK$11))*IF($D30="",0,$D30),0),0)))</f>
        <v/>
      </c>
      <c r="AL333" s="10" t="str">
        <f t="shared" si="29"/>
        <v/>
      </c>
      <c r="AM333" s="10" t="str">
        <f t="shared" si="29"/>
        <v/>
      </c>
      <c r="AN333" s="10" t="str">
        <f t="shared" si="29"/>
        <v/>
      </c>
      <c r="AO333" s="10" t="str">
        <f t="shared" si="29"/>
        <v/>
      </c>
      <c r="AP333" s="10" t="str">
        <f t="shared" si="29"/>
        <v/>
      </c>
      <c r="AQ333" s="10" t="str">
        <f t="shared" si="29"/>
        <v/>
      </c>
      <c r="AR333" s="10" t="str">
        <f t="shared" si="29"/>
        <v/>
      </c>
      <c r="AS333" s="10" t="str">
        <f t="shared" si="29"/>
        <v/>
      </c>
      <c r="AT333" s="10" t="str">
        <f t="shared" si="29"/>
        <v/>
      </c>
      <c r="AU333" s="10" t="str">
        <f t="shared" si="29"/>
        <v/>
      </c>
      <c r="AV333" s="10" t="str">
        <f t="shared" si="29"/>
        <v/>
      </c>
      <c r="AW333" s="10" t="str">
        <f t="shared" si="29"/>
        <v/>
      </c>
      <c r="AX333" s="10" t="str">
        <f t="shared" si="29"/>
        <v/>
      </c>
      <c r="AY333" s="10" t="str">
        <f t="shared" si="29"/>
        <v/>
      </c>
      <c r="AZ333" s="10" t="str">
        <f t="shared" si="29"/>
        <v/>
      </c>
      <c r="BA333" s="10" t="str">
        <f t="shared" si="29"/>
        <v/>
      </c>
      <c r="BB333" s="10" t="str">
        <f t="shared" si="29"/>
        <v/>
      </c>
      <c r="BC333" s="10" t="str">
        <f t="shared" si="29"/>
        <v/>
      </c>
      <c r="BD333" s="10" t="str">
        <f t="shared" si="29"/>
        <v/>
      </c>
      <c r="BE333" s="10" t="str">
        <f t="shared" si="29"/>
        <v/>
      </c>
      <c r="BF333" s="10" t="str">
        <f t="shared" si="29"/>
        <v/>
      </c>
      <c r="BG333" s="10" t="str">
        <f t="shared" si="29"/>
        <v/>
      </c>
      <c r="BH333" s="10" t="str">
        <f t="shared" si="29"/>
        <v/>
      </c>
      <c r="BI333" s="10" t="str">
        <f t="shared" si="29"/>
        <v/>
      </c>
      <c r="BJ333" s="10" t="str">
        <f t="shared" si="29"/>
        <v/>
      </c>
      <c r="BK333" s="10" t="str">
        <f t="shared" si="29"/>
        <v/>
      </c>
      <c r="BL333" s="10" t="str">
        <f t="shared" si="29"/>
        <v/>
      </c>
    </row>
    <row r="334" spans="2:64" hidden="1" x14ac:dyDescent="0.35">
      <c r="B334" s="23" t="s">
        <v>122</v>
      </c>
      <c r="C334" s="9"/>
      <c r="D334" s="9"/>
      <c r="E334" s="10" t="str">
        <f t="shared" ref="E334:AJ334" si="30">IF(E323=0,"",IF($C$7="EGP",(SUMIFS(E$14:E$81,$BM$14:$BM$81,"Asset",$C$14:$C$81,"EGP",$BN$14:$BN$81,"Cash"))+IFERROR((SUMIFS(E$14:E$81,$BM$14:$BM$81,"Asset",$C$14:$C$81,"USD",$BN$14:$BN$81,"Cash"))*E$11,0),(SUMIFS(E$14:E$81,$BM$14:$BM$81,"Asset",$C$14:$C$81,"USD",$BN$14:$BN$81,"Cash"))+IFERROR((SUMIFS(E$14:E$81,$BM$14:$BM$81,"Asset",$C$14:$C$81,"EGP",$BN$14:$BN$81,"Cash"))/E$11,0)))</f>
        <v/>
      </c>
      <c r="F334" s="10" t="str">
        <f t="shared" si="30"/>
        <v/>
      </c>
      <c r="G334" s="10" t="str">
        <f t="shared" si="30"/>
        <v/>
      </c>
      <c r="H334" s="10" t="str">
        <f t="shared" si="30"/>
        <v/>
      </c>
      <c r="I334" s="10" t="str">
        <f t="shared" si="30"/>
        <v/>
      </c>
      <c r="J334" s="10" t="str">
        <f t="shared" si="30"/>
        <v/>
      </c>
      <c r="K334" s="10" t="str">
        <f t="shared" si="30"/>
        <v/>
      </c>
      <c r="L334" s="10" t="str">
        <f t="shared" si="30"/>
        <v/>
      </c>
      <c r="M334" s="10" t="str">
        <f t="shared" si="30"/>
        <v/>
      </c>
      <c r="N334" s="10" t="str">
        <f t="shared" si="30"/>
        <v/>
      </c>
      <c r="O334" s="10" t="str">
        <f t="shared" si="30"/>
        <v/>
      </c>
      <c r="P334" s="10" t="str">
        <f t="shared" si="30"/>
        <v/>
      </c>
      <c r="Q334" s="10" t="str">
        <f t="shared" si="30"/>
        <v/>
      </c>
      <c r="R334" s="10" t="str">
        <f t="shared" si="30"/>
        <v/>
      </c>
      <c r="S334" s="10" t="str">
        <f t="shared" si="30"/>
        <v/>
      </c>
      <c r="T334" s="10" t="str">
        <f t="shared" si="30"/>
        <v/>
      </c>
      <c r="U334" s="10" t="str">
        <f t="shared" si="30"/>
        <v/>
      </c>
      <c r="V334" s="10" t="str">
        <f t="shared" si="30"/>
        <v/>
      </c>
      <c r="W334" s="10" t="str">
        <f t="shared" si="30"/>
        <v/>
      </c>
      <c r="X334" s="10" t="str">
        <f t="shared" si="30"/>
        <v/>
      </c>
      <c r="Y334" s="10" t="str">
        <f t="shared" si="30"/>
        <v/>
      </c>
      <c r="Z334" s="10" t="str">
        <f t="shared" si="30"/>
        <v/>
      </c>
      <c r="AA334" s="10" t="str">
        <f t="shared" si="30"/>
        <v/>
      </c>
      <c r="AB334" s="10" t="str">
        <f t="shared" si="30"/>
        <v/>
      </c>
      <c r="AC334" s="10" t="str">
        <f t="shared" si="30"/>
        <v/>
      </c>
      <c r="AD334" s="10" t="str">
        <f t="shared" si="30"/>
        <v/>
      </c>
      <c r="AE334" s="10" t="str">
        <f t="shared" si="30"/>
        <v/>
      </c>
      <c r="AF334" s="10" t="str">
        <f t="shared" si="30"/>
        <v/>
      </c>
      <c r="AG334" s="10" t="str">
        <f t="shared" si="30"/>
        <v/>
      </c>
      <c r="AH334" s="10" t="str">
        <f t="shared" si="30"/>
        <v/>
      </c>
      <c r="AI334" s="10" t="str">
        <f t="shared" si="30"/>
        <v/>
      </c>
      <c r="AJ334" s="10" t="str">
        <f t="shared" si="30"/>
        <v/>
      </c>
      <c r="AK334" s="10" t="str">
        <f t="shared" ref="AK334:BL334" si="31">IF(AK323=0,"",IF($C$7="EGP",(SUMIFS(AK$14:AK$81,$BM$14:$BM$81,"Asset",$C$14:$C$81,"EGP",$BN$14:$BN$81,"Cash"))+IFERROR((SUMIFS(AK$14:AK$81,$BM$14:$BM$81,"Asset",$C$14:$C$81,"USD",$BN$14:$BN$81,"Cash"))*AK$11,0),(SUMIFS(AK$14:AK$81,$BM$14:$BM$81,"Asset",$C$14:$C$81,"USD",$BN$14:$BN$81,"Cash"))+IFERROR((SUMIFS(AK$14:AK$81,$BM$14:$BM$81,"Asset",$C$14:$C$81,"EGP",$BN$14:$BN$81,"Cash"))/AK$11,0)))</f>
        <v/>
      </c>
      <c r="AL334" s="10" t="str">
        <f t="shared" si="31"/>
        <v/>
      </c>
      <c r="AM334" s="10" t="str">
        <f t="shared" si="31"/>
        <v/>
      </c>
      <c r="AN334" s="10" t="str">
        <f t="shared" si="31"/>
        <v/>
      </c>
      <c r="AO334" s="10" t="str">
        <f t="shared" si="31"/>
        <v/>
      </c>
      <c r="AP334" s="10" t="str">
        <f t="shared" si="31"/>
        <v/>
      </c>
      <c r="AQ334" s="10" t="str">
        <f t="shared" si="31"/>
        <v/>
      </c>
      <c r="AR334" s="10" t="str">
        <f t="shared" si="31"/>
        <v/>
      </c>
      <c r="AS334" s="10" t="str">
        <f t="shared" si="31"/>
        <v/>
      </c>
      <c r="AT334" s="10" t="str">
        <f t="shared" si="31"/>
        <v/>
      </c>
      <c r="AU334" s="10" t="str">
        <f t="shared" si="31"/>
        <v/>
      </c>
      <c r="AV334" s="10" t="str">
        <f t="shared" si="31"/>
        <v/>
      </c>
      <c r="AW334" s="10" t="str">
        <f t="shared" si="31"/>
        <v/>
      </c>
      <c r="AX334" s="10" t="str">
        <f t="shared" si="31"/>
        <v/>
      </c>
      <c r="AY334" s="10" t="str">
        <f t="shared" si="31"/>
        <v/>
      </c>
      <c r="AZ334" s="10" t="str">
        <f t="shared" si="31"/>
        <v/>
      </c>
      <c r="BA334" s="10" t="str">
        <f t="shared" si="31"/>
        <v/>
      </c>
      <c r="BB334" s="10" t="str">
        <f t="shared" si="31"/>
        <v/>
      </c>
      <c r="BC334" s="10" t="str">
        <f t="shared" si="31"/>
        <v/>
      </c>
      <c r="BD334" s="10" t="str">
        <f t="shared" si="31"/>
        <v/>
      </c>
      <c r="BE334" s="10" t="str">
        <f t="shared" si="31"/>
        <v/>
      </c>
      <c r="BF334" s="10" t="str">
        <f t="shared" si="31"/>
        <v/>
      </c>
      <c r="BG334" s="10" t="str">
        <f t="shared" si="31"/>
        <v/>
      </c>
      <c r="BH334" s="10" t="str">
        <f t="shared" si="31"/>
        <v/>
      </c>
      <c r="BI334" s="10" t="str">
        <f t="shared" si="31"/>
        <v/>
      </c>
      <c r="BJ334" s="10" t="str">
        <f t="shared" si="31"/>
        <v/>
      </c>
      <c r="BK334" s="10" t="str">
        <f t="shared" si="31"/>
        <v/>
      </c>
      <c r="BL334" s="10" t="str">
        <f t="shared" si="31"/>
        <v/>
      </c>
    </row>
    <row r="335" spans="2:64" hidden="1" x14ac:dyDescent="0.35">
      <c r="B335" s="23" t="s">
        <v>123</v>
      </c>
      <c r="C335" s="9"/>
      <c r="D335" s="9"/>
      <c r="E335" s="10" t="str">
        <f t="shared" ref="E335:AJ335" si="32">IF(E323=0,"",IF($C$7="EGP",(SUMIFS(E$14:E$81,$BM$14:$BM$81,"Asset",$C$14:$C$81,"EGP",$BN$14:$BN$81,"Deposits"))+IFERROR((SUMIFS(E$14:E$81,$BM$14:$BM$81,"Asset",$C$14:$C$81,"USD",$BN$14:$BN$81,"Deposits"))*E$11,0),(SUMIFS(E$14:E$81,$BM$14:$BM$81,"Asset",$C$14:$C$81,"USD",$BN$14:$BN$81,"Deposits"))+IFERROR((SUMIFS(E$14:E$81,$BM$14:$BM$81,"Asset",$C$14:$C$81,"EGP",$BN$14:$BN$81,"Deposits"))/E$11,0)))</f>
        <v/>
      </c>
      <c r="F335" s="10" t="str">
        <f t="shared" si="32"/>
        <v/>
      </c>
      <c r="G335" s="10" t="str">
        <f t="shared" si="32"/>
        <v/>
      </c>
      <c r="H335" s="10" t="str">
        <f t="shared" si="32"/>
        <v/>
      </c>
      <c r="I335" s="10" t="str">
        <f t="shared" si="32"/>
        <v/>
      </c>
      <c r="J335" s="10" t="str">
        <f t="shared" si="32"/>
        <v/>
      </c>
      <c r="K335" s="10" t="str">
        <f t="shared" si="32"/>
        <v/>
      </c>
      <c r="L335" s="10" t="str">
        <f t="shared" si="32"/>
        <v/>
      </c>
      <c r="M335" s="10" t="str">
        <f t="shared" si="32"/>
        <v/>
      </c>
      <c r="N335" s="10" t="str">
        <f t="shared" si="32"/>
        <v/>
      </c>
      <c r="O335" s="10" t="str">
        <f t="shared" si="32"/>
        <v/>
      </c>
      <c r="P335" s="10" t="str">
        <f t="shared" si="32"/>
        <v/>
      </c>
      <c r="Q335" s="10" t="str">
        <f t="shared" si="32"/>
        <v/>
      </c>
      <c r="R335" s="10" t="str">
        <f t="shared" si="32"/>
        <v/>
      </c>
      <c r="S335" s="10" t="str">
        <f t="shared" si="32"/>
        <v/>
      </c>
      <c r="T335" s="10" t="str">
        <f t="shared" si="32"/>
        <v/>
      </c>
      <c r="U335" s="10" t="str">
        <f t="shared" si="32"/>
        <v/>
      </c>
      <c r="V335" s="10" t="str">
        <f t="shared" si="32"/>
        <v/>
      </c>
      <c r="W335" s="10" t="str">
        <f t="shared" si="32"/>
        <v/>
      </c>
      <c r="X335" s="10" t="str">
        <f t="shared" si="32"/>
        <v/>
      </c>
      <c r="Y335" s="10" t="str">
        <f t="shared" si="32"/>
        <v/>
      </c>
      <c r="Z335" s="10" t="str">
        <f t="shared" si="32"/>
        <v/>
      </c>
      <c r="AA335" s="10" t="str">
        <f t="shared" si="32"/>
        <v/>
      </c>
      <c r="AB335" s="10" t="str">
        <f t="shared" si="32"/>
        <v/>
      </c>
      <c r="AC335" s="10" t="str">
        <f t="shared" si="32"/>
        <v/>
      </c>
      <c r="AD335" s="10" t="str">
        <f t="shared" si="32"/>
        <v/>
      </c>
      <c r="AE335" s="10" t="str">
        <f t="shared" si="32"/>
        <v/>
      </c>
      <c r="AF335" s="10" t="str">
        <f t="shared" si="32"/>
        <v/>
      </c>
      <c r="AG335" s="10" t="str">
        <f t="shared" si="32"/>
        <v/>
      </c>
      <c r="AH335" s="10" t="str">
        <f t="shared" si="32"/>
        <v/>
      </c>
      <c r="AI335" s="10" t="str">
        <f t="shared" si="32"/>
        <v/>
      </c>
      <c r="AJ335" s="10" t="str">
        <f t="shared" si="32"/>
        <v/>
      </c>
      <c r="AK335" s="10" t="str">
        <f t="shared" ref="AK335:BL335" si="33">IF(AK323=0,"",IF($C$7="EGP",(SUMIFS(AK$14:AK$81,$BM$14:$BM$81,"Asset",$C$14:$C$81,"EGP",$BN$14:$BN$81,"Deposits"))+IFERROR((SUMIFS(AK$14:AK$81,$BM$14:$BM$81,"Asset",$C$14:$C$81,"USD",$BN$14:$BN$81,"Deposits"))*AK$11,0),(SUMIFS(AK$14:AK$81,$BM$14:$BM$81,"Asset",$C$14:$C$81,"USD",$BN$14:$BN$81,"Deposits"))+IFERROR((SUMIFS(AK$14:AK$81,$BM$14:$BM$81,"Asset",$C$14:$C$81,"EGP",$BN$14:$BN$81,"Deposits"))/AK$11,0)))</f>
        <v/>
      </c>
      <c r="AL335" s="10" t="str">
        <f t="shared" si="33"/>
        <v/>
      </c>
      <c r="AM335" s="10" t="str">
        <f t="shared" si="33"/>
        <v/>
      </c>
      <c r="AN335" s="10" t="str">
        <f t="shared" si="33"/>
        <v/>
      </c>
      <c r="AO335" s="10" t="str">
        <f t="shared" si="33"/>
        <v/>
      </c>
      <c r="AP335" s="10" t="str">
        <f t="shared" si="33"/>
        <v/>
      </c>
      <c r="AQ335" s="10" t="str">
        <f t="shared" si="33"/>
        <v/>
      </c>
      <c r="AR335" s="10" t="str">
        <f t="shared" si="33"/>
        <v/>
      </c>
      <c r="AS335" s="10" t="str">
        <f t="shared" si="33"/>
        <v/>
      </c>
      <c r="AT335" s="10" t="str">
        <f t="shared" si="33"/>
        <v/>
      </c>
      <c r="AU335" s="10" t="str">
        <f t="shared" si="33"/>
        <v/>
      </c>
      <c r="AV335" s="10" t="str">
        <f t="shared" si="33"/>
        <v/>
      </c>
      <c r="AW335" s="10" t="str">
        <f t="shared" si="33"/>
        <v/>
      </c>
      <c r="AX335" s="10" t="str">
        <f t="shared" si="33"/>
        <v/>
      </c>
      <c r="AY335" s="10" t="str">
        <f t="shared" si="33"/>
        <v/>
      </c>
      <c r="AZ335" s="10" t="str">
        <f t="shared" si="33"/>
        <v/>
      </c>
      <c r="BA335" s="10" t="str">
        <f t="shared" si="33"/>
        <v/>
      </c>
      <c r="BB335" s="10" t="str">
        <f t="shared" si="33"/>
        <v/>
      </c>
      <c r="BC335" s="10" t="str">
        <f t="shared" si="33"/>
        <v/>
      </c>
      <c r="BD335" s="10" t="str">
        <f t="shared" si="33"/>
        <v/>
      </c>
      <c r="BE335" s="10" t="str">
        <f t="shared" si="33"/>
        <v/>
      </c>
      <c r="BF335" s="10" t="str">
        <f t="shared" si="33"/>
        <v/>
      </c>
      <c r="BG335" s="10" t="str">
        <f t="shared" si="33"/>
        <v/>
      </c>
      <c r="BH335" s="10" t="str">
        <f t="shared" si="33"/>
        <v/>
      </c>
      <c r="BI335" s="10" t="str">
        <f t="shared" si="33"/>
        <v/>
      </c>
      <c r="BJ335" s="10" t="str">
        <f t="shared" si="33"/>
        <v/>
      </c>
      <c r="BK335" s="10" t="str">
        <f t="shared" si="33"/>
        <v/>
      </c>
      <c r="BL335" s="10" t="str">
        <f t="shared" si="33"/>
        <v/>
      </c>
    </row>
    <row r="336" spans="2:64" hidden="1" x14ac:dyDescent="0.35">
      <c r="B336" s="23" t="s">
        <v>124</v>
      </c>
      <c r="C336" s="9"/>
      <c r="D336" s="9"/>
      <c r="E336" s="10" t="str">
        <f t="shared" ref="E336:AJ336" si="34">IF(E323=0,"",IF($C$7="EGP",(SUMIFS(E$14:E$81,$BM$14:$BM$81,"Asset",$C$14:$C$81,"EGP",$BN$14:$BN$81,"Brokerage"))+IFERROR((SUMIFS(E$14:E$81,$BM$14:$BM$81,"Asset",$C$14:$C$81,"USD",$BN$14:$BN$81,"Brokerage"))*E$11,0),(SUMIFS(E$14:E$81,$BM$14:$BM$81,"Asset",$C$14:$C$81,"USD",$BN$14:$BN$81,"Brokerage"))+IFERROR((SUMIFS(E$14:E$81,$BM$14:$BM$81,"Asset",$C$14:$C$81,"EGP",$BN$14:$BN$81,"Brokerage"))/E$11,0)))</f>
        <v/>
      </c>
      <c r="F336" s="10" t="str">
        <f t="shared" si="34"/>
        <v/>
      </c>
      <c r="G336" s="10" t="str">
        <f t="shared" si="34"/>
        <v/>
      </c>
      <c r="H336" s="10" t="str">
        <f t="shared" si="34"/>
        <v/>
      </c>
      <c r="I336" s="10" t="str">
        <f t="shared" si="34"/>
        <v/>
      </c>
      <c r="J336" s="10" t="str">
        <f t="shared" si="34"/>
        <v/>
      </c>
      <c r="K336" s="10" t="str">
        <f t="shared" si="34"/>
        <v/>
      </c>
      <c r="L336" s="10" t="str">
        <f t="shared" si="34"/>
        <v/>
      </c>
      <c r="M336" s="10" t="str">
        <f t="shared" si="34"/>
        <v/>
      </c>
      <c r="N336" s="10" t="str">
        <f t="shared" si="34"/>
        <v/>
      </c>
      <c r="O336" s="10" t="str">
        <f t="shared" si="34"/>
        <v/>
      </c>
      <c r="P336" s="10" t="str">
        <f t="shared" si="34"/>
        <v/>
      </c>
      <c r="Q336" s="10" t="str">
        <f t="shared" si="34"/>
        <v/>
      </c>
      <c r="R336" s="10" t="str">
        <f t="shared" si="34"/>
        <v/>
      </c>
      <c r="S336" s="10" t="str">
        <f t="shared" si="34"/>
        <v/>
      </c>
      <c r="T336" s="10" t="str">
        <f t="shared" si="34"/>
        <v/>
      </c>
      <c r="U336" s="10" t="str">
        <f t="shared" si="34"/>
        <v/>
      </c>
      <c r="V336" s="10" t="str">
        <f t="shared" si="34"/>
        <v/>
      </c>
      <c r="W336" s="10" t="str">
        <f t="shared" si="34"/>
        <v/>
      </c>
      <c r="X336" s="10" t="str">
        <f t="shared" si="34"/>
        <v/>
      </c>
      <c r="Y336" s="10" t="str">
        <f t="shared" si="34"/>
        <v/>
      </c>
      <c r="Z336" s="10" t="str">
        <f t="shared" si="34"/>
        <v/>
      </c>
      <c r="AA336" s="10" t="str">
        <f t="shared" si="34"/>
        <v/>
      </c>
      <c r="AB336" s="10" t="str">
        <f t="shared" si="34"/>
        <v/>
      </c>
      <c r="AC336" s="10" t="str">
        <f t="shared" si="34"/>
        <v/>
      </c>
      <c r="AD336" s="10" t="str">
        <f t="shared" si="34"/>
        <v/>
      </c>
      <c r="AE336" s="10" t="str">
        <f t="shared" si="34"/>
        <v/>
      </c>
      <c r="AF336" s="10" t="str">
        <f t="shared" si="34"/>
        <v/>
      </c>
      <c r="AG336" s="10" t="str">
        <f t="shared" si="34"/>
        <v/>
      </c>
      <c r="AH336" s="10" t="str">
        <f t="shared" si="34"/>
        <v/>
      </c>
      <c r="AI336" s="10" t="str">
        <f t="shared" si="34"/>
        <v/>
      </c>
      <c r="AJ336" s="10" t="str">
        <f t="shared" si="34"/>
        <v/>
      </c>
      <c r="AK336" s="10" t="str">
        <f t="shared" ref="AK336:BL336" si="35">IF(AK323=0,"",IF($C$7="EGP",(SUMIFS(AK$14:AK$81,$BM$14:$BM$81,"Asset",$C$14:$C$81,"EGP",$BN$14:$BN$81,"Brokerage"))+IFERROR((SUMIFS(AK$14:AK$81,$BM$14:$BM$81,"Asset",$C$14:$C$81,"USD",$BN$14:$BN$81,"Brokerage"))*AK$11,0),(SUMIFS(AK$14:AK$81,$BM$14:$BM$81,"Asset",$C$14:$C$81,"USD",$BN$14:$BN$81,"Brokerage"))+IFERROR((SUMIFS(AK$14:AK$81,$BM$14:$BM$81,"Asset",$C$14:$C$81,"EGP",$BN$14:$BN$81,"Brokerage"))/AK$11,0)))</f>
        <v/>
      </c>
      <c r="AL336" s="10" t="str">
        <f t="shared" si="35"/>
        <v/>
      </c>
      <c r="AM336" s="10" t="str">
        <f t="shared" si="35"/>
        <v/>
      </c>
      <c r="AN336" s="10" t="str">
        <f t="shared" si="35"/>
        <v/>
      </c>
      <c r="AO336" s="10" t="str">
        <f t="shared" si="35"/>
        <v/>
      </c>
      <c r="AP336" s="10" t="str">
        <f t="shared" si="35"/>
        <v/>
      </c>
      <c r="AQ336" s="10" t="str">
        <f t="shared" si="35"/>
        <v/>
      </c>
      <c r="AR336" s="10" t="str">
        <f t="shared" si="35"/>
        <v/>
      </c>
      <c r="AS336" s="10" t="str">
        <f t="shared" si="35"/>
        <v/>
      </c>
      <c r="AT336" s="10" t="str">
        <f t="shared" si="35"/>
        <v/>
      </c>
      <c r="AU336" s="10" t="str">
        <f t="shared" si="35"/>
        <v/>
      </c>
      <c r="AV336" s="10" t="str">
        <f t="shared" si="35"/>
        <v/>
      </c>
      <c r="AW336" s="10" t="str">
        <f t="shared" si="35"/>
        <v/>
      </c>
      <c r="AX336" s="10" t="str">
        <f t="shared" si="35"/>
        <v/>
      </c>
      <c r="AY336" s="10" t="str">
        <f t="shared" si="35"/>
        <v/>
      </c>
      <c r="AZ336" s="10" t="str">
        <f t="shared" si="35"/>
        <v/>
      </c>
      <c r="BA336" s="10" t="str">
        <f t="shared" si="35"/>
        <v/>
      </c>
      <c r="BB336" s="10" t="str">
        <f t="shared" si="35"/>
        <v/>
      </c>
      <c r="BC336" s="10" t="str">
        <f t="shared" si="35"/>
        <v/>
      </c>
      <c r="BD336" s="10" t="str">
        <f t="shared" si="35"/>
        <v/>
      </c>
      <c r="BE336" s="10" t="str">
        <f t="shared" si="35"/>
        <v/>
      </c>
      <c r="BF336" s="10" t="str">
        <f t="shared" si="35"/>
        <v/>
      </c>
      <c r="BG336" s="10" t="str">
        <f t="shared" si="35"/>
        <v/>
      </c>
      <c r="BH336" s="10" t="str">
        <f t="shared" si="35"/>
        <v/>
      </c>
      <c r="BI336" s="10" t="str">
        <f t="shared" si="35"/>
        <v/>
      </c>
      <c r="BJ336" s="10" t="str">
        <f t="shared" si="35"/>
        <v/>
      </c>
      <c r="BK336" s="10" t="str">
        <f t="shared" si="35"/>
        <v/>
      </c>
      <c r="BL336" s="10" t="str">
        <f t="shared" si="35"/>
        <v/>
      </c>
    </row>
    <row r="337" spans="2:64" hidden="1" x14ac:dyDescent="0.35">
      <c r="B337" s="23" t="s">
        <v>125</v>
      </c>
      <c r="C337" s="9"/>
      <c r="D337" s="9"/>
      <c r="E337" s="10" t="str">
        <f t="shared" ref="E337:AJ337" si="36">IF(E323=0,"",IF($C$7="EGP",(SUMIFS(E$14:E$81,$BM$14:$BM$81,"Asset",$C$14:$C$81,"EGP",$BN$14:$BN$81,"Retirement"))+IFERROR((SUMIFS(E$14:E$81,$BM$14:$BM$81,"Asset",$C$14:$C$81,"USD",$BN$14:$BN$81,"Retirement"))*E$11,0),(SUMIFS(E$14:E$81,$BM$14:$BM$81,"Asset",$C$14:$C$81,"USD",$BN$14:$BN$81,"Retirement"))+IFERROR((SUMIFS(E$14:E$81,$BM$14:$BM$81,"Asset",$C$14:$C$81,"EGP",$BN$14:$BN$81,"Retirement"))/E$11,0)))</f>
        <v/>
      </c>
      <c r="F337" s="10" t="str">
        <f t="shared" si="36"/>
        <v/>
      </c>
      <c r="G337" s="10" t="str">
        <f t="shared" si="36"/>
        <v/>
      </c>
      <c r="H337" s="10" t="str">
        <f t="shared" si="36"/>
        <v/>
      </c>
      <c r="I337" s="10" t="str">
        <f t="shared" si="36"/>
        <v/>
      </c>
      <c r="J337" s="10" t="str">
        <f t="shared" si="36"/>
        <v/>
      </c>
      <c r="K337" s="10" t="str">
        <f t="shared" si="36"/>
        <v/>
      </c>
      <c r="L337" s="10" t="str">
        <f t="shared" si="36"/>
        <v/>
      </c>
      <c r="M337" s="10" t="str">
        <f t="shared" si="36"/>
        <v/>
      </c>
      <c r="N337" s="10" t="str">
        <f t="shared" si="36"/>
        <v/>
      </c>
      <c r="O337" s="10" t="str">
        <f t="shared" si="36"/>
        <v/>
      </c>
      <c r="P337" s="10" t="str">
        <f t="shared" si="36"/>
        <v/>
      </c>
      <c r="Q337" s="10" t="str">
        <f t="shared" si="36"/>
        <v/>
      </c>
      <c r="R337" s="10" t="str">
        <f t="shared" si="36"/>
        <v/>
      </c>
      <c r="S337" s="10" t="str">
        <f t="shared" si="36"/>
        <v/>
      </c>
      <c r="T337" s="10" t="str">
        <f t="shared" si="36"/>
        <v/>
      </c>
      <c r="U337" s="10" t="str">
        <f t="shared" si="36"/>
        <v/>
      </c>
      <c r="V337" s="10" t="str">
        <f t="shared" si="36"/>
        <v/>
      </c>
      <c r="W337" s="10" t="str">
        <f t="shared" si="36"/>
        <v/>
      </c>
      <c r="X337" s="10" t="str">
        <f t="shared" si="36"/>
        <v/>
      </c>
      <c r="Y337" s="10" t="str">
        <f t="shared" si="36"/>
        <v/>
      </c>
      <c r="Z337" s="10" t="str">
        <f t="shared" si="36"/>
        <v/>
      </c>
      <c r="AA337" s="10" t="str">
        <f t="shared" si="36"/>
        <v/>
      </c>
      <c r="AB337" s="10" t="str">
        <f t="shared" si="36"/>
        <v/>
      </c>
      <c r="AC337" s="10" t="str">
        <f t="shared" si="36"/>
        <v/>
      </c>
      <c r="AD337" s="10" t="str">
        <f t="shared" si="36"/>
        <v/>
      </c>
      <c r="AE337" s="10" t="str">
        <f t="shared" si="36"/>
        <v/>
      </c>
      <c r="AF337" s="10" t="str">
        <f t="shared" si="36"/>
        <v/>
      </c>
      <c r="AG337" s="10" t="str">
        <f t="shared" si="36"/>
        <v/>
      </c>
      <c r="AH337" s="10" t="str">
        <f t="shared" si="36"/>
        <v/>
      </c>
      <c r="AI337" s="10" t="str">
        <f t="shared" si="36"/>
        <v/>
      </c>
      <c r="AJ337" s="10" t="str">
        <f t="shared" si="36"/>
        <v/>
      </c>
      <c r="AK337" s="10" t="str">
        <f t="shared" ref="AK337:BL337" si="37">IF(AK323=0,"",IF($C$7="EGP",(SUMIFS(AK$14:AK$81,$BM$14:$BM$81,"Asset",$C$14:$C$81,"EGP",$BN$14:$BN$81,"Retirement"))+IFERROR((SUMIFS(AK$14:AK$81,$BM$14:$BM$81,"Asset",$C$14:$C$81,"USD",$BN$14:$BN$81,"Retirement"))*AK$11,0),(SUMIFS(AK$14:AK$81,$BM$14:$BM$81,"Asset",$C$14:$C$81,"USD",$BN$14:$BN$81,"Retirement"))+IFERROR((SUMIFS(AK$14:AK$81,$BM$14:$BM$81,"Asset",$C$14:$C$81,"EGP",$BN$14:$BN$81,"Retirement"))/AK$11,0)))</f>
        <v/>
      </c>
      <c r="AL337" s="10" t="str">
        <f t="shared" si="37"/>
        <v/>
      </c>
      <c r="AM337" s="10" t="str">
        <f t="shared" si="37"/>
        <v/>
      </c>
      <c r="AN337" s="10" t="str">
        <f t="shared" si="37"/>
        <v/>
      </c>
      <c r="AO337" s="10" t="str">
        <f t="shared" si="37"/>
        <v/>
      </c>
      <c r="AP337" s="10" t="str">
        <f t="shared" si="37"/>
        <v/>
      </c>
      <c r="AQ337" s="10" t="str">
        <f t="shared" si="37"/>
        <v/>
      </c>
      <c r="AR337" s="10" t="str">
        <f t="shared" si="37"/>
        <v/>
      </c>
      <c r="AS337" s="10" t="str">
        <f t="shared" si="37"/>
        <v/>
      </c>
      <c r="AT337" s="10" t="str">
        <f t="shared" si="37"/>
        <v/>
      </c>
      <c r="AU337" s="10" t="str">
        <f t="shared" si="37"/>
        <v/>
      </c>
      <c r="AV337" s="10" t="str">
        <f t="shared" si="37"/>
        <v/>
      </c>
      <c r="AW337" s="10" t="str">
        <f t="shared" si="37"/>
        <v/>
      </c>
      <c r="AX337" s="10" t="str">
        <f t="shared" si="37"/>
        <v/>
      </c>
      <c r="AY337" s="10" t="str">
        <f t="shared" si="37"/>
        <v/>
      </c>
      <c r="AZ337" s="10" t="str">
        <f t="shared" si="37"/>
        <v/>
      </c>
      <c r="BA337" s="10" t="str">
        <f t="shared" si="37"/>
        <v/>
      </c>
      <c r="BB337" s="10" t="str">
        <f t="shared" si="37"/>
        <v/>
      </c>
      <c r="BC337" s="10" t="str">
        <f t="shared" si="37"/>
        <v/>
      </c>
      <c r="BD337" s="10" t="str">
        <f t="shared" si="37"/>
        <v/>
      </c>
      <c r="BE337" s="10" t="str">
        <f t="shared" si="37"/>
        <v/>
      </c>
      <c r="BF337" s="10" t="str">
        <f t="shared" si="37"/>
        <v/>
      </c>
      <c r="BG337" s="10" t="str">
        <f t="shared" si="37"/>
        <v/>
      </c>
      <c r="BH337" s="10" t="str">
        <f t="shared" si="37"/>
        <v/>
      </c>
      <c r="BI337" s="10" t="str">
        <f t="shared" si="37"/>
        <v/>
      </c>
      <c r="BJ337" s="10" t="str">
        <f t="shared" si="37"/>
        <v/>
      </c>
      <c r="BK337" s="10" t="str">
        <f t="shared" si="37"/>
        <v/>
      </c>
      <c r="BL337" s="10" t="str">
        <f t="shared" si="37"/>
        <v/>
      </c>
    </row>
    <row r="338" spans="2:64" hidden="1" x14ac:dyDescent="0.35">
      <c r="B338" s="23" t="s">
        <v>126</v>
      </c>
      <c r="C338" s="9"/>
      <c r="D338" s="9"/>
      <c r="E338" s="10" t="str">
        <f t="shared" ref="E338:AJ338" si="38">IF(E323=0,"",IF($C$7="EGP",(SUMIFS(E$14:E$81,$BM$14:$BM$81,"Asset",$C$14:$C$81,"EGP",$BN$14:$BN$81,"Investments"))+IFERROR((SUMIFS(E$14:E$81,$BM$14:$BM$81,"Asset",$C$14:$C$81,"USD",$BN$14:$BN$81,"Investments"))*E$11,0),(SUMIFS(E$14:E$81,$BM$14:$BM$81,"Asset",$C$14:$C$81,"USD",$BN$14:$BN$81,"Investments"))+IFERROR((SUMIFS(E$14:E$81,$BM$14:$BM$81,"Asset",$C$14:$C$81,"EGP",$BN$14:$BN$81,"Investments"))/E$11,0)))</f>
        <v/>
      </c>
      <c r="F338" s="10" t="str">
        <f t="shared" si="38"/>
        <v/>
      </c>
      <c r="G338" s="10" t="str">
        <f t="shared" si="38"/>
        <v/>
      </c>
      <c r="H338" s="10" t="str">
        <f t="shared" si="38"/>
        <v/>
      </c>
      <c r="I338" s="10" t="str">
        <f t="shared" si="38"/>
        <v/>
      </c>
      <c r="J338" s="10" t="str">
        <f t="shared" si="38"/>
        <v/>
      </c>
      <c r="K338" s="10" t="str">
        <f t="shared" si="38"/>
        <v/>
      </c>
      <c r="L338" s="10" t="str">
        <f t="shared" si="38"/>
        <v/>
      </c>
      <c r="M338" s="10" t="str">
        <f t="shared" si="38"/>
        <v/>
      </c>
      <c r="N338" s="10" t="str">
        <f t="shared" si="38"/>
        <v/>
      </c>
      <c r="O338" s="10" t="str">
        <f t="shared" si="38"/>
        <v/>
      </c>
      <c r="P338" s="10" t="str">
        <f t="shared" si="38"/>
        <v/>
      </c>
      <c r="Q338" s="10" t="str">
        <f t="shared" si="38"/>
        <v/>
      </c>
      <c r="R338" s="10" t="str">
        <f t="shared" si="38"/>
        <v/>
      </c>
      <c r="S338" s="10" t="str">
        <f t="shared" si="38"/>
        <v/>
      </c>
      <c r="T338" s="10" t="str">
        <f t="shared" si="38"/>
        <v/>
      </c>
      <c r="U338" s="10" t="str">
        <f t="shared" si="38"/>
        <v/>
      </c>
      <c r="V338" s="10" t="str">
        <f t="shared" si="38"/>
        <v/>
      </c>
      <c r="W338" s="10" t="str">
        <f t="shared" si="38"/>
        <v/>
      </c>
      <c r="X338" s="10" t="str">
        <f t="shared" si="38"/>
        <v/>
      </c>
      <c r="Y338" s="10" t="str">
        <f t="shared" si="38"/>
        <v/>
      </c>
      <c r="Z338" s="10" t="str">
        <f t="shared" si="38"/>
        <v/>
      </c>
      <c r="AA338" s="10" t="str">
        <f t="shared" si="38"/>
        <v/>
      </c>
      <c r="AB338" s="10" t="str">
        <f t="shared" si="38"/>
        <v/>
      </c>
      <c r="AC338" s="10" t="str">
        <f t="shared" si="38"/>
        <v/>
      </c>
      <c r="AD338" s="10" t="str">
        <f t="shared" si="38"/>
        <v/>
      </c>
      <c r="AE338" s="10" t="str">
        <f t="shared" si="38"/>
        <v/>
      </c>
      <c r="AF338" s="10" t="str">
        <f t="shared" si="38"/>
        <v/>
      </c>
      <c r="AG338" s="10" t="str">
        <f t="shared" si="38"/>
        <v/>
      </c>
      <c r="AH338" s="10" t="str">
        <f t="shared" si="38"/>
        <v/>
      </c>
      <c r="AI338" s="10" t="str">
        <f t="shared" si="38"/>
        <v/>
      </c>
      <c r="AJ338" s="10" t="str">
        <f t="shared" si="38"/>
        <v/>
      </c>
      <c r="AK338" s="10" t="str">
        <f t="shared" ref="AK338:BL338" si="39">IF(AK323=0,"",IF($C$7="EGP",(SUMIFS(AK$14:AK$81,$BM$14:$BM$81,"Asset",$C$14:$C$81,"EGP",$BN$14:$BN$81,"Investments"))+IFERROR((SUMIFS(AK$14:AK$81,$BM$14:$BM$81,"Asset",$C$14:$C$81,"USD",$BN$14:$BN$81,"Investments"))*AK$11,0),(SUMIFS(AK$14:AK$81,$BM$14:$BM$81,"Asset",$C$14:$C$81,"USD",$BN$14:$BN$81,"Investments"))+IFERROR((SUMIFS(AK$14:AK$81,$BM$14:$BM$81,"Asset",$C$14:$C$81,"EGP",$BN$14:$BN$81,"Investments"))/AK$11,0)))</f>
        <v/>
      </c>
      <c r="AL338" s="10" t="str">
        <f t="shared" si="39"/>
        <v/>
      </c>
      <c r="AM338" s="10" t="str">
        <f t="shared" si="39"/>
        <v/>
      </c>
      <c r="AN338" s="10" t="str">
        <f t="shared" si="39"/>
        <v/>
      </c>
      <c r="AO338" s="10" t="str">
        <f t="shared" si="39"/>
        <v/>
      </c>
      <c r="AP338" s="10" t="str">
        <f t="shared" si="39"/>
        <v/>
      </c>
      <c r="AQ338" s="10" t="str">
        <f t="shared" si="39"/>
        <v/>
      </c>
      <c r="AR338" s="10" t="str">
        <f t="shared" si="39"/>
        <v/>
      </c>
      <c r="AS338" s="10" t="str">
        <f t="shared" si="39"/>
        <v/>
      </c>
      <c r="AT338" s="10" t="str">
        <f t="shared" si="39"/>
        <v/>
      </c>
      <c r="AU338" s="10" t="str">
        <f t="shared" si="39"/>
        <v/>
      </c>
      <c r="AV338" s="10" t="str">
        <f t="shared" si="39"/>
        <v/>
      </c>
      <c r="AW338" s="10" t="str">
        <f t="shared" si="39"/>
        <v/>
      </c>
      <c r="AX338" s="10" t="str">
        <f t="shared" si="39"/>
        <v/>
      </c>
      <c r="AY338" s="10" t="str">
        <f t="shared" si="39"/>
        <v/>
      </c>
      <c r="AZ338" s="10" t="str">
        <f t="shared" si="39"/>
        <v/>
      </c>
      <c r="BA338" s="10" t="str">
        <f t="shared" si="39"/>
        <v/>
      </c>
      <c r="BB338" s="10" t="str">
        <f t="shared" si="39"/>
        <v/>
      </c>
      <c r="BC338" s="10" t="str">
        <f t="shared" si="39"/>
        <v/>
      </c>
      <c r="BD338" s="10" t="str">
        <f t="shared" si="39"/>
        <v/>
      </c>
      <c r="BE338" s="10" t="str">
        <f t="shared" si="39"/>
        <v/>
      </c>
      <c r="BF338" s="10" t="str">
        <f t="shared" si="39"/>
        <v/>
      </c>
      <c r="BG338" s="10" t="str">
        <f t="shared" si="39"/>
        <v/>
      </c>
      <c r="BH338" s="10" t="str">
        <f t="shared" si="39"/>
        <v/>
      </c>
      <c r="BI338" s="10" t="str">
        <f t="shared" si="39"/>
        <v/>
      </c>
      <c r="BJ338" s="10" t="str">
        <f t="shared" si="39"/>
        <v/>
      </c>
      <c r="BK338" s="10" t="str">
        <f t="shared" si="39"/>
        <v/>
      </c>
      <c r="BL338" s="10" t="str">
        <f t="shared" si="39"/>
        <v/>
      </c>
    </row>
    <row r="339" spans="2:64" hidden="1" x14ac:dyDescent="0.35">
      <c r="B339" s="23" t="s">
        <v>127</v>
      </c>
      <c r="C339" s="9"/>
      <c r="D339" s="9"/>
      <c r="E339" s="10" t="str">
        <f t="shared" ref="E339:AJ339" si="40">IF(E323=0,"",IF($C$7="EGP",(SUMIFS(E$14:E$81,$BM$14:$BM$81,"Asset",$C$14:$C$81,"EGP",$BN$14:$BN$81,"Employer Equity"))+IFERROR((SUMIFS(E$14:E$81,$BM$14:$BM$81,"Asset",$C$14:$C$81,"USD",$BN$14:$BN$81,"Employer Equity"))*E$11,0),(SUMIFS(E$14:E$81,$BM$14:$BM$81,"Asset",$C$14:$C$81,"USD",$BN$14:$BN$81,"Employer Equity"))+IFERROR((SUMIFS(E$14:E$81,$BM$14:$BM$81,"Asset",$C$14:$C$81,"EGP",$BN$14:$BN$81,"Employer Equity"))/E$11,0)))</f>
        <v/>
      </c>
      <c r="F339" s="10" t="str">
        <f t="shared" si="40"/>
        <v/>
      </c>
      <c r="G339" s="10" t="str">
        <f t="shared" si="40"/>
        <v/>
      </c>
      <c r="H339" s="10" t="str">
        <f t="shared" si="40"/>
        <v/>
      </c>
      <c r="I339" s="10" t="str">
        <f t="shared" si="40"/>
        <v/>
      </c>
      <c r="J339" s="10" t="str">
        <f t="shared" si="40"/>
        <v/>
      </c>
      <c r="K339" s="10" t="str">
        <f t="shared" si="40"/>
        <v/>
      </c>
      <c r="L339" s="10" t="str">
        <f t="shared" si="40"/>
        <v/>
      </c>
      <c r="M339" s="10" t="str">
        <f t="shared" si="40"/>
        <v/>
      </c>
      <c r="N339" s="10" t="str">
        <f t="shared" si="40"/>
        <v/>
      </c>
      <c r="O339" s="10" t="str">
        <f t="shared" si="40"/>
        <v/>
      </c>
      <c r="P339" s="10" t="str">
        <f t="shared" si="40"/>
        <v/>
      </c>
      <c r="Q339" s="10" t="str">
        <f t="shared" si="40"/>
        <v/>
      </c>
      <c r="R339" s="10" t="str">
        <f t="shared" si="40"/>
        <v/>
      </c>
      <c r="S339" s="10" t="str">
        <f t="shared" si="40"/>
        <v/>
      </c>
      <c r="T339" s="10" t="str">
        <f t="shared" si="40"/>
        <v/>
      </c>
      <c r="U339" s="10" t="str">
        <f t="shared" si="40"/>
        <v/>
      </c>
      <c r="V339" s="10" t="str">
        <f t="shared" si="40"/>
        <v/>
      </c>
      <c r="W339" s="10" t="str">
        <f t="shared" si="40"/>
        <v/>
      </c>
      <c r="X339" s="10" t="str">
        <f t="shared" si="40"/>
        <v/>
      </c>
      <c r="Y339" s="10" t="str">
        <f t="shared" si="40"/>
        <v/>
      </c>
      <c r="Z339" s="10" t="str">
        <f t="shared" si="40"/>
        <v/>
      </c>
      <c r="AA339" s="10" t="str">
        <f t="shared" si="40"/>
        <v/>
      </c>
      <c r="AB339" s="10" t="str">
        <f t="shared" si="40"/>
        <v/>
      </c>
      <c r="AC339" s="10" t="str">
        <f t="shared" si="40"/>
        <v/>
      </c>
      <c r="AD339" s="10" t="str">
        <f t="shared" si="40"/>
        <v/>
      </c>
      <c r="AE339" s="10" t="str">
        <f t="shared" si="40"/>
        <v/>
      </c>
      <c r="AF339" s="10" t="str">
        <f t="shared" si="40"/>
        <v/>
      </c>
      <c r="AG339" s="10" t="str">
        <f t="shared" si="40"/>
        <v/>
      </c>
      <c r="AH339" s="10" t="str">
        <f t="shared" si="40"/>
        <v/>
      </c>
      <c r="AI339" s="10" t="str">
        <f t="shared" si="40"/>
        <v/>
      </c>
      <c r="AJ339" s="10" t="str">
        <f t="shared" si="40"/>
        <v/>
      </c>
      <c r="AK339" s="10" t="str">
        <f t="shared" ref="AK339:BL339" si="41">IF(AK323=0,"",IF($C$7="EGP",(SUMIFS(AK$14:AK$81,$BM$14:$BM$81,"Asset",$C$14:$C$81,"EGP",$BN$14:$BN$81,"Employer Equity"))+IFERROR((SUMIFS(AK$14:AK$81,$BM$14:$BM$81,"Asset",$C$14:$C$81,"USD",$BN$14:$BN$81,"Employer Equity"))*AK$11,0),(SUMIFS(AK$14:AK$81,$BM$14:$BM$81,"Asset",$C$14:$C$81,"USD",$BN$14:$BN$81,"Employer Equity"))+IFERROR((SUMIFS(AK$14:AK$81,$BM$14:$BM$81,"Asset",$C$14:$C$81,"EGP",$BN$14:$BN$81,"Employer Equity"))/AK$11,0)))</f>
        <v/>
      </c>
      <c r="AL339" s="10" t="str">
        <f t="shared" si="41"/>
        <v/>
      </c>
      <c r="AM339" s="10" t="str">
        <f t="shared" si="41"/>
        <v/>
      </c>
      <c r="AN339" s="10" t="str">
        <f t="shared" si="41"/>
        <v/>
      </c>
      <c r="AO339" s="10" t="str">
        <f t="shared" si="41"/>
        <v/>
      </c>
      <c r="AP339" s="10" t="str">
        <f t="shared" si="41"/>
        <v/>
      </c>
      <c r="AQ339" s="10" t="str">
        <f t="shared" si="41"/>
        <v/>
      </c>
      <c r="AR339" s="10" t="str">
        <f t="shared" si="41"/>
        <v/>
      </c>
      <c r="AS339" s="10" t="str">
        <f t="shared" si="41"/>
        <v/>
      </c>
      <c r="AT339" s="10" t="str">
        <f t="shared" si="41"/>
        <v/>
      </c>
      <c r="AU339" s="10" t="str">
        <f t="shared" si="41"/>
        <v/>
      </c>
      <c r="AV339" s="10" t="str">
        <f t="shared" si="41"/>
        <v/>
      </c>
      <c r="AW339" s="10" t="str">
        <f t="shared" si="41"/>
        <v/>
      </c>
      <c r="AX339" s="10" t="str">
        <f t="shared" si="41"/>
        <v/>
      </c>
      <c r="AY339" s="10" t="str">
        <f t="shared" si="41"/>
        <v/>
      </c>
      <c r="AZ339" s="10" t="str">
        <f t="shared" si="41"/>
        <v/>
      </c>
      <c r="BA339" s="10" t="str">
        <f t="shared" si="41"/>
        <v/>
      </c>
      <c r="BB339" s="10" t="str">
        <f t="shared" si="41"/>
        <v/>
      </c>
      <c r="BC339" s="10" t="str">
        <f t="shared" si="41"/>
        <v/>
      </c>
      <c r="BD339" s="10" t="str">
        <f t="shared" si="41"/>
        <v/>
      </c>
      <c r="BE339" s="10" t="str">
        <f t="shared" si="41"/>
        <v/>
      </c>
      <c r="BF339" s="10" t="str">
        <f t="shared" si="41"/>
        <v/>
      </c>
      <c r="BG339" s="10" t="str">
        <f t="shared" si="41"/>
        <v/>
      </c>
      <c r="BH339" s="10" t="str">
        <f t="shared" si="41"/>
        <v/>
      </c>
      <c r="BI339" s="10" t="str">
        <f t="shared" si="41"/>
        <v/>
      </c>
      <c r="BJ339" s="10" t="str">
        <f t="shared" si="41"/>
        <v/>
      </c>
      <c r="BK339" s="10" t="str">
        <f t="shared" si="41"/>
        <v/>
      </c>
      <c r="BL339" s="10" t="str">
        <f t="shared" si="41"/>
        <v/>
      </c>
    </row>
    <row r="340" spans="2:64" hidden="1" x14ac:dyDescent="0.35">
      <c r="B340" s="23" t="s">
        <v>47</v>
      </c>
      <c r="C340" s="9"/>
      <c r="D340" s="9"/>
      <c r="E340" s="10" t="str">
        <f t="shared" ref="E340:AJ340" si="42">IF(E323=0,"",IF($C$7="EGP",(SUMIFS(E$14:E$81,$BM$14:$BM$81,"Asset",$C$14:$C$81,"EGP",$BN$14:$BN$81,"Property"))+IFERROR((SUMIFS(E$14:E$81,$BM$14:$BM$81,"Asset",$C$14:$C$81,"USD",$BN$14:$BN$81,"Property"))*E$11,0),(SUMIFS(E$14:E$81,$BM$14:$BM$81,"Asset",$C$14:$C$81,"USD",$BN$14:$BN$81,"Property"))+IFERROR((SUMIFS(E$14:E$81,$BM$14:$BM$81,"Asset",$C$14:$C$81,"EGP",$BN$14:$BN$81,"Property"))/E$11,0)))</f>
        <v/>
      </c>
      <c r="F340" s="10" t="str">
        <f t="shared" si="42"/>
        <v/>
      </c>
      <c r="G340" s="10" t="str">
        <f t="shared" si="42"/>
        <v/>
      </c>
      <c r="H340" s="10" t="str">
        <f t="shared" si="42"/>
        <v/>
      </c>
      <c r="I340" s="10" t="str">
        <f t="shared" si="42"/>
        <v/>
      </c>
      <c r="J340" s="10" t="str">
        <f t="shared" si="42"/>
        <v/>
      </c>
      <c r="K340" s="10" t="str">
        <f t="shared" si="42"/>
        <v/>
      </c>
      <c r="L340" s="10" t="str">
        <f t="shared" si="42"/>
        <v/>
      </c>
      <c r="M340" s="10" t="str">
        <f t="shared" si="42"/>
        <v/>
      </c>
      <c r="N340" s="10" t="str">
        <f t="shared" si="42"/>
        <v/>
      </c>
      <c r="O340" s="10" t="str">
        <f t="shared" si="42"/>
        <v/>
      </c>
      <c r="P340" s="10" t="str">
        <f t="shared" si="42"/>
        <v/>
      </c>
      <c r="Q340" s="10" t="str">
        <f t="shared" si="42"/>
        <v/>
      </c>
      <c r="R340" s="10" t="str">
        <f t="shared" si="42"/>
        <v/>
      </c>
      <c r="S340" s="10" t="str">
        <f t="shared" si="42"/>
        <v/>
      </c>
      <c r="T340" s="10" t="str">
        <f t="shared" si="42"/>
        <v/>
      </c>
      <c r="U340" s="10" t="str">
        <f t="shared" si="42"/>
        <v/>
      </c>
      <c r="V340" s="10" t="str">
        <f t="shared" si="42"/>
        <v/>
      </c>
      <c r="W340" s="10" t="str">
        <f t="shared" si="42"/>
        <v/>
      </c>
      <c r="X340" s="10" t="str">
        <f t="shared" si="42"/>
        <v/>
      </c>
      <c r="Y340" s="10" t="str">
        <f t="shared" si="42"/>
        <v/>
      </c>
      <c r="Z340" s="10" t="str">
        <f t="shared" si="42"/>
        <v/>
      </c>
      <c r="AA340" s="10" t="str">
        <f t="shared" si="42"/>
        <v/>
      </c>
      <c r="AB340" s="10" t="str">
        <f t="shared" si="42"/>
        <v/>
      </c>
      <c r="AC340" s="10" t="str">
        <f t="shared" si="42"/>
        <v/>
      </c>
      <c r="AD340" s="10" t="str">
        <f t="shared" si="42"/>
        <v/>
      </c>
      <c r="AE340" s="10" t="str">
        <f t="shared" si="42"/>
        <v/>
      </c>
      <c r="AF340" s="10" t="str">
        <f t="shared" si="42"/>
        <v/>
      </c>
      <c r="AG340" s="10" t="str">
        <f t="shared" si="42"/>
        <v/>
      </c>
      <c r="AH340" s="10" t="str">
        <f t="shared" si="42"/>
        <v/>
      </c>
      <c r="AI340" s="10" t="str">
        <f t="shared" si="42"/>
        <v/>
      </c>
      <c r="AJ340" s="10" t="str">
        <f t="shared" si="42"/>
        <v/>
      </c>
      <c r="AK340" s="10" t="str">
        <f t="shared" ref="AK340:BL340" si="43">IF(AK323=0,"",IF($C$7="EGP",(SUMIFS(AK$14:AK$81,$BM$14:$BM$81,"Asset",$C$14:$C$81,"EGP",$BN$14:$BN$81,"Property"))+IFERROR((SUMIFS(AK$14:AK$81,$BM$14:$BM$81,"Asset",$C$14:$C$81,"USD",$BN$14:$BN$81,"Property"))*AK$11,0),(SUMIFS(AK$14:AK$81,$BM$14:$BM$81,"Asset",$C$14:$C$81,"USD",$BN$14:$BN$81,"Property"))+IFERROR((SUMIFS(AK$14:AK$81,$BM$14:$BM$81,"Asset",$C$14:$C$81,"EGP",$BN$14:$BN$81,"Property"))/AK$11,0)))</f>
        <v/>
      </c>
      <c r="AL340" s="10" t="str">
        <f t="shared" si="43"/>
        <v/>
      </c>
      <c r="AM340" s="10" t="str">
        <f t="shared" si="43"/>
        <v/>
      </c>
      <c r="AN340" s="10" t="str">
        <f t="shared" si="43"/>
        <v/>
      </c>
      <c r="AO340" s="10" t="str">
        <f t="shared" si="43"/>
        <v/>
      </c>
      <c r="AP340" s="10" t="str">
        <f t="shared" si="43"/>
        <v/>
      </c>
      <c r="AQ340" s="10" t="str">
        <f t="shared" si="43"/>
        <v/>
      </c>
      <c r="AR340" s="10" t="str">
        <f t="shared" si="43"/>
        <v/>
      </c>
      <c r="AS340" s="10" t="str">
        <f t="shared" si="43"/>
        <v/>
      </c>
      <c r="AT340" s="10" t="str">
        <f t="shared" si="43"/>
        <v/>
      </c>
      <c r="AU340" s="10" t="str">
        <f t="shared" si="43"/>
        <v/>
      </c>
      <c r="AV340" s="10" t="str">
        <f t="shared" si="43"/>
        <v/>
      </c>
      <c r="AW340" s="10" t="str">
        <f t="shared" si="43"/>
        <v/>
      </c>
      <c r="AX340" s="10" t="str">
        <f t="shared" si="43"/>
        <v/>
      </c>
      <c r="AY340" s="10" t="str">
        <f t="shared" si="43"/>
        <v/>
      </c>
      <c r="AZ340" s="10" t="str">
        <f t="shared" si="43"/>
        <v/>
      </c>
      <c r="BA340" s="10" t="str">
        <f t="shared" si="43"/>
        <v/>
      </c>
      <c r="BB340" s="10" t="str">
        <f t="shared" si="43"/>
        <v/>
      </c>
      <c r="BC340" s="10" t="str">
        <f t="shared" si="43"/>
        <v/>
      </c>
      <c r="BD340" s="10" t="str">
        <f t="shared" si="43"/>
        <v/>
      </c>
      <c r="BE340" s="10" t="str">
        <f t="shared" si="43"/>
        <v/>
      </c>
      <c r="BF340" s="10" t="str">
        <f t="shared" si="43"/>
        <v/>
      </c>
      <c r="BG340" s="10" t="str">
        <f t="shared" si="43"/>
        <v/>
      </c>
      <c r="BH340" s="10" t="str">
        <f t="shared" si="43"/>
        <v/>
      </c>
      <c r="BI340" s="10" t="str">
        <f t="shared" si="43"/>
        <v/>
      </c>
      <c r="BJ340" s="10" t="str">
        <f t="shared" si="43"/>
        <v/>
      </c>
      <c r="BK340" s="10" t="str">
        <f t="shared" si="43"/>
        <v/>
      </c>
      <c r="BL340" s="10" t="str">
        <f t="shared" si="43"/>
        <v/>
      </c>
    </row>
    <row r="341" spans="2:64" hidden="1" x14ac:dyDescent="0.35">
      <c r="B341" s="23" t="s">
        <v>128</v>
      </c>
      <c r="C341" s="9"/>
      <c r="D341" s="9"/>
      <c r="E341" s="10" t="str">
        <f t="shared" ref="E341:AJ341" si="44">IF(E323=0,"",IF($C$7="EGP",(SUMIFS(E$14:E$81,$BM$14:$BM$81,"Asset",$C$14:$C$81,"EGP",$BN$14:$BN$81,"Gold"))+IFERROR((SUMIFS(E$14:E$81,$BM$14:$BM$81,"Asset",$C$14:$C$81,"USD",$BN$14:$BN$81,"Gold"))*E$11,0),(SUMIFS(E$14:E$81,$BM$14:$BM$81,"Asset",$C$14:$C$81,"USD",$BN$14:$BN$81,"Gold"))+IFERROR((SUMIFS(E$14:E$81,$BM$14:$BM$81,"Asset",$C$14:$C$81,"EGP",$BN$14:$BN$81,"Gold"))/E$11,0)))</f>
        <v/>
      </c>
      <c r="F341" s="10" t="str">
        <f t="shared" si="44"/>
        <v/>
      </c>
      <c r="G341" s="10" t="str">
        <f t="shared" si="44"/>
        <v/>
      </c>
      <c r="H341" s="10" t="str">
        <f t="shared" si="44"/>
        <v/>
      </c>
      <c r="I341" s="10" t="str">
        <f t="shared" si="44"/>
        <v/>
      </c>
      <c r="J341" s="10" t="str">
        <f t="shared" si="44"/>
        <v/>
      </c>
      <c r="K341" s="10" t="str">
        <f t="shared" si="44"/>
        <v/>
      </c>
      <c r="L341" s="10" t="str">
        <f t="shared" si="44"/>
        <v/>
      </c>
      <c r="M341" s="10" t="str">
        <f t="shared" si="44"/>
        <v/>
      </c>
      <c r="N341" s="10" t="str">
        <f t="shared" si="44"/>
        <v/>
      </c>
      <c r="O341" s="10" t="str">
        <f t="shared" si="44"/>
        <v/>
      </c>
      <c r="P341" s="10" t="str">
        <f t="shared" si="44"/>
        <v/>
      </c>
      <c r="Q341" s="10" t="str">
        <f t="shared" si="44"/>
        <v/>
      </c>
      <c r="R341" s="10" t="str">
        <f t="shared" si="44"/>
        <v/>
      </c>
      <c r="S341" s="10" t="str">
        <f t="shared" si="44"/>
        <v/>
      </c>
      <c r="T341" s="10" t="str">
        <f t="shared" si="44"/>
        <v/>
      </c>
      <c r="U341" s="10" t="str">
        <f t="shared" si="44"/>
        <v/>
      </c>
      <c r="V341" s="10" t="str">
        <f t="shared" si="44"/>
        <v/>
      </c>
      <c r="W341" s="10" t="str">
        <f t="shared" si="44"/>
        <v/>
      </c>
      <c r="X341" s="10" t="str">
        <f t="shared" si="44"/>
        <v/>
      </c>
      <c r="Y341" s="10" t="str">
        <f t="shared" si="44"/>
        <v/>
      </c>
      <c r="Z341" s="10" t="str">
        <f t="shared" si="44"/>
        <v/>
      </c>
      <c r="AA341" s="10" t="str">
        <f t="shared" si="44"/>
        <v/>
      </c>
      <c r="AB341" s="10" t="str">
        <f t="shared" si="44"/>
        <v/>
      </c>
      <c r="AC341" s="10" t="str">
        <f t="shared" si="44"/>
        <v/>
      </c>
      <c r="AD341" s="10" t="str">
        <f t="shared" si="44"/>
        <v/>
      </c>
      <c r="AE341" s="10" t="str">
        <f t="shared" si="44"/>
        <v/>
      </c>
      <c r="AF341" s="10" t="str">
        <f t="shared" si="44"/>
        <v/>
      </c>
      <c r="AG341" s="10" t="str">
        <f t="shared" si="44"/>
        <v/>
      </c>
      <c r="AH341" s="10" t="str">
        <f t="shared" si="44"/>
        <v/>
      </c>
      <c r="AI341" s="10" t="str">
        <f t="shared" si="44"/>
        <v/>
      </c>
      <c r="AJ341" s="10" t="str">
        <f t="shared" si="44"/>
        <v/>
      </c>
      <c r="AK341" s="10" t="str">
        <f t="shared" ref="AK341:BL341" si="45">IF(AK323=0,"",IF($C$7="EGP",(SUMIFS(AK$14:AK$81,$BM$14:$BM$81,"Asset",$C$14:$C$81,"EGP",$BN$14:$BN$81,"Gold"))+IFERROR((SUMIFS(AK$14:AK$81,$BM$14:$BM$81,"Asset",$C$14:$C$81,"USD",$BN$14:$BN$81,"Gold"))*AK$11,0),(SUMIFS(AK$14:AK$81,$BM$14:$BM$81,"Asset",$C$14:$C$81,"USD",$BN$14:$BN$81,"Gold"))+IFERROR((SUMIFS(AK$14:AK$81,$BM$14:$BM$81,"Asset",$C$14:$C$81,"EGP",$BN$14:$BN$81,"Gold"))/AK$11,0)))</f>
        <v/>
      </c>
      <c r="AL341" s="10" t="str">
        <f t="shared" si="45"/>
        <v/>
      </c>
      <c r="AM341" s="10" t="str">
        <f t="shared" si="45"/>
        <v/>
      </c>
      <c r="AN341" s="10" t="str">
        <f t="shared" si="45"/>
        <v/>
      </c>
      <c r="AO341" s="10" t="str">
        <f t="shared" si="45"/>
        <v/>
      </c>
      <c r="AP341" s="10" t="str">
        <f t="shared" si="45"/>
        <v/>
      </c>
      <c r="AQ341" s="10" t="str">
        <f t="shared" si="45"/>
        <v/>
      </c>
      <c r="AR341" s="10" t="str">
        <f t="shared" si="45"/>
        <v/>
      </c>
      <c r="AS341" s="10" t="str">
        <f t="shared" si="45"/>
        <v/>
      </c>
      <c r="AT341" s="10" t="str">
        <f t="shared" si="45"/>
        <v/>
      </c>
      <c r="AU341" s="10" t="str">
        <f t="shared" si="45"/>
        <v/>
      </c>
      <c r="AV341" s="10" t="str">
        <f t="shared" si="45"/>
        <v/>
      </c>
      <c r="AW341" s="10" t="str">
        <f t="shared" si="45"/>
        <v/>
      </c>
      <c r="AX341" s="10" t="str">
        <f t="shared" si="45"/>
        <v/>
      </c>
      <c r="AY341" s="10" t="str">
        <f t="shared" si="45"/>
        <v/>
      </c>
      <c r="AZ341" s="10" t="str">
        <f t="shared" si="45"/>
        <v/>
      </c>
      <c r="BA341" s="10" t="str">
        <f t="shared" si="45"/>
        <v/>
      </c>
      <c r="BB341" s="10" t="str">
        <f t="shared" si="45"/>
        <v/>
      </c>
      <c r="BC341" s="10" t="str">
        <f t="shared" si="45"/>
        <v/>
      </c>
      <c r="BD341" s="10" t="str">
        <f t="shared" si="45"/>
        <v/>
      </c>
      <c r="BE341" s="10" t="str">
        <f t="shared" si="45"/>
        <v/>
      </c>
      <c r="BF341" s="10" t="str">
        <f t="shared" si="45"/>
        <v/>
      </c>
      <c r="BG341" s="10" t="str">
        <f t="shared" si="45"/>
        <v/>
      </c>
      <c r="BH341" s="10" t="str">
        <f t="shared" si="45"/>
        <v/>
      </c>
      <c r="BI341" s="10" t="str">
        <f t="shared" si="45"/>
        <v/>
      </c>
      <c r="BJ341" s="10" t="str">
        <f t="shared" si="45"/>
        <v/>
      </c>
      <c r="BK341" s="10" t="str">
        <f t="shared" si="45"/>
        <v/>
      </c>
      <c r="BL341" s="10" t="str">
        <f t="shared" si="45"/>
        <v/>
      </c>
    </row>
    <row r="342" spans="2:64" hidden="1" x14ac:dyDescent="0.35">
      <c r="B342" s="23" t="s">
        <v>129</v>
      </c>
      <c r="C342" s="9"/>
      <c r="D342" s="9"/>
      <c r="E342" s="10" t="str">
        <f t="shared" ref="E342:AJ342" si="46">IF(E323=0,"",IF($C$7="EGP",(SUMIFS(E$14:E$81,$BM$14:$BM$81,"Asset",$C$14:$C$81,"EGP",$BN$14:$BN$81,"Other"))+IFERROR((SUMIFS(E$14:E$81,$BM$14:$BM$81,"Asset",$C$14:$C$81,"USD",$BN$14:$BN$81,"Other"))*E$11,0),(SUMIFS(E$14:E$81,$BM$14:$BM$81,"Asset",$C$14:$C$81,"USD",$BN$14:$BN$81,"Other"))+IFERROR((SUMIFS(E$14:E$81,$BM$14:$BM$81,"Asset",$C$14:$C$81,"EGP",$BN$14:$BN$81,"Other"))/E$11,0)))</f>
        <v/>
      </c>
      <c r="F342" s="10" t="str">
        <f t="shared" si="46"/>
        <v/>
      </c>
      <c r="G342" s="10" t="str">
        <f t="shared" si="46"/>
        <v/>
      </c>
      <c r="H342" s="10" t="str">
        <f t="shared" si="46"/>
        <v/>
      </c>
      <c r="I342" s="10" t="str">
        <f t="shared" si="46"/>
        <v/>
      </c>
      <c r="J342" s="10" t="str">
        <f t="shared" si="46"/>
        <v/>
      </c>
      <c r="K342" s="10" t="str">
        <f t="shared" si="46"/>
        <v/>
      </c>
      <c r="L342" s="10" t="str">
        <f t="shared" si="46"/>
        <v/>
      </c>
      <c r="M342" s="10" t="str">
        <f t="shared" si="46"/>
        <v/>
      </c>
      <c r="N342" s="10" t="str">
        <f t="shared" si="46"/>
        <v/>
      </c>
      <c r="O342" s="10" t="str">
        <f t="shared" si="46"/>
        <v/>
      </c>
      <c r="P342" s="10" t="str">
        <f t="shared" si="46"/>
        <v/>
      </c>
      <c r="Q342" s="10" t="str">
        <f t="shared" si="46"/>
        <v/>
      </c>
      <c r="R342" s="10" t="str">
        <f t="shared" si="46"/>
        <v/>
      </c>
      <c r="S342" s="10" t="str">
        <f t="shared" si="46"/>
        <v/>
      </c>
      <c r="T342" s="10" t="str">
        <f t="shared" si="46"/>
        <v/>
      </c>
      <c r="U342" s="10" t="str">
        <f t="shared" si="46"/>
        <v/>
      </c>
      <c r="V342" s="10" t="str">
        <f t="shared" si="46"/>
        <v/>
      </c>
      <c r="W342" s="10" t="str">
        <f t="shared" si="46"/>
        <v/>
      </c>
      <c r="X342" s="10" t="str">
        <f t="shared" si="46"/>
        <v/>
      </c>
      <c r="Y342" s="10" t="str">
        <f t="shared" si="46"/>
        <v/>
      </c>
      <c r="Z342" s="10" t="str">
        <f t="shared" si="46"/>
        <v/>
      </c>
      <c r="AA342" s="10" t="str">
        <f t="shared" si="46"/>
        <v/>
      </c>
      <c r="AB342" s="10" t="str">
        <f t="shared" si="46"/>
        <v/>
      </c>
      <c r="AC342" s="10" t="str">
        <f t="shared" si="46"/>
        <v/>
      </c>
      <c r="AD342" s="10" t="str">
        <f t="shared" si="46"/>
        <v/>
      </c>
      <c r="AE342" s="10" t="str">
        <f t="shared" si="46"/>
        <v/>
      </c>
      <c r="AF342" s="10" t="str">
        <f t="shared" si="46"/>
        <v/>
      </c>
      <c r="AG342" s="10" t="str">
        <f t="shared" si="46"/>
        <v/>
      </c>
      <c r="AH342" s="10" t="str">
        <f t="shared" si="46"/>
        <v/>
      </c>
      <c r="AI342" s="10" t="str">
        <f t="shared" si="46"/>
        <v/>
      </c>
      <c r="AJ342" s="10" t="str">
        <f t="shared" si="46"/>
        <v/>
      </c>
      <c r="AK342" s="10" t="str">
        <f t="shared" ref="AK342:BL342" si="47">IF(AK323=0,"",IF($C$7="EGP",(SUMIFS(AK$14:AK$81,$BM$14:$BM$81,"Asset",$C$14:$C$81,"EGP",$BN$14:$BN$81,"Other"))+IFERROR((SUMIFS(AK$14:AK$81,$BM$14:$BM$81,"Asset",$C$14:$C$81,"USD",$BN$14:$BN$81,"Other"))*AK$11,0),(SUMIFS(AK$14:AK$81,$BM$14:$BM$81,"Asset",$C$14:$C$81,"USD",$BN$14:$BN$81,"Other"))+IFERROR((SUMIFS(AK$14:AK$81,$BM$14:$BM$81,"Asset",$C$14:$C$81,"EGP",$BN$14:$BN$81,"Other"))/AK$11,0)))</f>
        <v/>
      </c>
      <c r="AL342" s="10" t="str">
        <f t="shared" si="47"/>
        <v/>
      </c>
      <c r="AM342" s="10" t="str">
        <f t="shared" si="47"/>
        <v/>
      </c>
      <c r="AN342" s="10" t="str">
        <f t="shared" si="47"/>
        <v/>
      </c>
      <c r="AO342" s="10" t="str">
        <f t="shared" si="47"/>
        <v/>
      </c>
      <c r="AP342" s="10" t="str">
        <f t="shared" si="47"/>
        <v/>
      </c>
      <c r="AQ342" s="10" t="str">
        <f t="shared" si="47"/>
        <v/>
      </c>
      <c r="AR342" s="10" t="str">
        <f t="shared" si="47"/>
        <v/>
      </c>
      <c r="AS342" s="10" t="str">
        <f t="shared" si="47"/>
        <v/>
      </c>
      <c r="AT342" s="10" t="str">
        <f t="shared" si="47"/>
        <v/>
      </c>
      <c r="AU342" s="10" t="str">
        <f t="shared" si="47"/>
        <v/>
      </c>
      <c r="AV342" s="10" t="str">
        <f t="shared" si="47"/>
        <v/>
      </c>
      <c r="AW342" s="10" t="str">
        <f t="shared" si="47"/>
        <v/>
      </c>
      <c r="AX342" s="10" t="str">
        <f t="shared" si="47"/>
        <v/>
      </c>
      <c r="AY342" s="10" t="str">
        <f t="shared" si="47"/>
        <v/>
      </c>
      <c r="AZ342" s="10" t="str">
        <f t="shared" si="47"/>
        <v/>
      </c>
      <c r="BA342" s="10" t="str">
        <f t="shared" si="47"/>
        <v/>
      </c>
      <c r="BB342" s="10" t="str">
        <f t="shared" si="47"/>
        <v/>
      </c>
      <c r="BC342" s="10" t="str">
        <f t="shared" si="47"/>
        <v/>
      </c>
      <c r="BD342" s="10" t="str">
        <f t="shared" si="47"/>
        <v/>
      </c>
      <c r="BE342" s="10" t="str">
        <f t="shared" si="47"/>
        <v/>
      </c>
      <c r="BF342" s="10" t="str">
        <f t="shared" si="47"/>
        <v/>
      </c>
      <c r="BG342" s="10" t="str">
        <f t="shared" si="47"/>
        <v/>
      </c>
      <c r="BH342" s="10" t="str">
        <f t="shared" si="47"/>
        <v/>
      </c>
      <c r="BI342" s="10" t="str">
        <f t="shared" si="47"/>
        <v/>
      </c>
      <c r="BJ342" s="10" t="str">
        <f t="shared" si="47"/>
        <v/>
      </c>
      <c r="BK342" s="10" t="str">
        <f t="shared" si="47"/>
        <v/>
      </c>
      <c r="BL342" s="10" t="str">
        <f t="shared" si="47"/>
        <v/>
      </c>
    </row>
    <row r="343" spans="2:64" hidden="1" x14ac:dyDescent="0.35">
      <c r="B343" s="23" t="s">
        <v>130</v>
      </c>
      <c r="C343" s="9"/>
      <c r="D343" s="9"/>
      <c r="E343" s="10" t="str">
        <f t="shared" ref="E343:AJ343" si="48">IF(E323=0,"",IF($C$7="EGP",(SUMIFS(E$14:E$81,$BM$14:$BM$81,"Debt",$C$14:$C$81,"EGP",$BP$14:$BP$81,"Mortgages"))+IFERROR((SUMIFS(E$14:E$81,$BM$14:$BM$81,"Debt",$C$14:$C$81,"USD",$BP$14:$BP$81,"Mortgages"))*E$11,0),(SUMIFS(E$14:E$81,$BM$14:$BM$81,"Debt",$C$14:$C$81,"USD",$BP$14:$BP$81,"Mortgages"))+IFERROR((SUMIFS(E$14:E$81,$BM$14:$BM$81,"Debt",$C$14:$C$81,"EGP",$BP$14:$BP$81,"Mortgages"))/E$11,0)))</f>
        <v/>
      </c>
      <c r="F343" s="10" t="str">
        <f t="shared" si="48"/>
        <v/>
      </c>
      <c r="G343" s="10" t="str">
        <f t="shared" si="48"/>
        <v/>
      </c>
      <c r="H343" s="10" t="str">
        <f t="shared" si="48"/>
        <v/>
      </c>
      <c r="I343" s="10" t="str">
        <f t="shared" si="48"/>
        <v/>
      </c>
      <c r="J343" s="10" t="str">
        <f t="shared" si="48"/>
        <v/>
      </c>
      <c r="K343" s="10" t="str">
        <f t="shared" si="48"/>
        <v/>
      </c>
      <c r="L343" s="10" t="str">
        <f t="shared" si="48"/>
        <v/>
      </c>
      <c r="M343" s="10" t="str">
        <f t="shared" si="48"/>
        <v/>
      </c>
      <c r="N343" s="10" t="str">
        <f t="shared" si="48"/>
        <v/>
      </c>
      <c r="O343" s="10" t="str">
        <f t="shared" si="48"/>
        <v/>
      </c>
      <c r="P343" s="10" t="str">
        <f t="shared" si="48"/>
        <v/>
      </c>
      <c r="Q343" s="10" t="str">
        <f t="shared" si="48"/>
        <v/>
      </c>
      <c r="R343" s="10" t="str">
        <f t="shared" si="48"/>
        <v/>
      </c>
      <c r="S343" s="10" t="str">
        <f t="shared" si="48"/>
        <v/>
      </c>
      <c r="T343" s="10" t="str">
        <f t="shared" si="48"/>
        <v/>
      </c>
      <c r="U343" s="10" t="str">
        <f t="shared" si="48"/>
        <v/>
      </c>
      <c r="V343" s="10" t="str">
        <f t="shared" si="48"/>
        <v/>
      </c>
      <c r="W343" s="10" t="str">
        <f t="shared" si="48"/>
        <v/>
      </c>
      <c r="X343" s="10" t="str">
        <f t="shared" si="48"/>
        <v/>
      </c>
      <c r="Y343" s="10" t="str">
        <f t="shared" si="48"/>
        <v/>
      </c>
      <c r="Z343" s="10" t="str">
        <f t="shared" si="48"/>
        <v/>
      </c>
      <c r="AA343" s="10" t="str">
        <f t="shared" si="48"/>
        <v/>
      </c>
      <c r="AB343" s="10" t="str">
        <f t="shared" si="48"/>
        <v/>
      </c>
      <c r="AC343" s="10" t="str">
        <f t="shared" si="48"/>
        <v/>
      </c>
      <c r="AD343" s="10" t="str">
        <f t="shared" si="48"/>
        <v/>
      </c>
      <c r="AE343" s="10" t="str">
        <f t="shared" si="48"/>
        <v/>
      </c>
      <c r="AF343" s="10" t="str">
        <f t="shared" si="48"/>
        <v/>
      </c>
      <c r="AG343" s="10" t="str">
        <f t="shared" si="48"/>
        <v/>
      </c>
      <c r="AH343" s="10" t="str">
        <f t="shared" si="48"/>
        <v/>
      </c>
      <c r="AI343" s="10" t="str">
        <f t="shared" si="48"/>
        <v/>
      </c>
      <c r="AJ343" s="10" t="str">
        <f t="shared" si="48"/>
        <v/>
      </c>
      <c r="AK343" s="10" t="str">
        <f t="shared" ref="AK343:BL343" si="49">IF(AK323=0,"",IF($C$7="EGP",(SUMIFS(AK$14:AK$81,$BM$14:$BM$81,"Debt",$C$14:$C$81,"EGP",$BP$14:$BP$81,"Mortgages"))+IFERROR((SUMIFS(AK$14:AK$81,$BM$14:$BM$81,"Debt",$C$14:$C$81,"USD",$BP$14:$BP$81,"Mortgages"))*AK$11,0),(SUMIFS(AK$14:AK$81,$BM$14:$BM$81,"Debt",$C$14:$C$81,"USD",$BP$14:$BP$81,"Mortgages"))+IFERROR((SUMIFS(AK$14:AK$81,$BM$14:$BM$81,"Debt",$C$14:$C$81,"EGP",$BP$14:$BP$81,"Mortgages"))/AK$11,0)))</f>
        <v/>
      </c>
      <c r="AL343" s="10" t="str">
        <f t="shared" si="49"/>
        <v/>
      </c>
      <c r="AM343" s="10" t="str">
        <f t="shared" si="49"/>
        <v/>
      </c>
      <c r="AN343" s="10" t="str">
        <f t="shared" si="49"/>
        <v/>
      </c>
      <c r="AO343" s="10" t="str">
        <f t="shared" si="49"/>
        <v/>
      </c>
      <c r="AP343" s="10" t="str">
        <f t="shared" si="49"/>
        <v/>
      </c>
      <c r="AQ343" s="10" t="str">
        <f t="shared" si="49"/>
        <v/>
      </c>
      <c r="AR343" s="10" t="str">
        <f t="shared" si="49"/>
        <v/>
      </c>
      <c r="AS343" s="10" t="str">
        <f t="shared" si="49"/>
        <v/>
      </c>
      <c r="AT343" s="10" t="str">
        <f t="shared" si="49"/>
        <v/>
      </c>
      <c r="AU343" s="10" t="str">
        <f t="shared" si="49"/>
        <v/>
      </c>
      <c r="AV343" s="10" t="str">
        <f t="shared" si="49"/>
        <v/>
      </c>
      <c r="AW343" s="10" t="str">
        <f t="shared" si="49"/>
        <v/>
      </c>
      <c r="AX343" s="10" t="str">
        <f t="shared" si="49"/>
        <v/>
      </c>
      <c r="AY343" s="10" t="str">
        <f t="shared" si="49"/>
        <v/>
      </c>
      <c r="AZ343" s="10" t="str">
        <f t="shared" si="49"/>
        <v/>
      </c>
      <c r="BA343" s="10" t="str">
        <f t="shared" si="49"/>
        <v/>
      </c>
      <c r="BB343" s="10" t="str">
        <f t="shared" si="49"/>
        <v/>
      </c>
      <c r="BC343" s="10" t="str">
        <f t="shared" si="49"/>
        <v/>
      </c>
      <c r="BD343" s="10" t="str">
        <f t="shared" si="49"/>
        <v/>
      </c>
      <c r="BE343" s="10" t="str">
        <f t="shared" si="49"/>
        <v/>
      </c>
      <c r="BF343" s="10" t="str">
        <f t="shared" si="49"/>
        <v/>
      </c>
      <c r="BG343" s="10" t="str">
        <f t="shared" si="49"/>
        <v/>
      </c>
      <c r="BH343" s="10" t="str">
        <f t="shared" si="49"/>
        <v/>
      </c>
      <c r="BI343" s="10" t="str">
        <f t="shared" si="49"/>
        <v/>
      </c>
      <c r="BJ343" s="10" t="str">
        <f t="shared" si="49"/>
        <v/>
      </c>
      <c r="BK343" s="10" t="str">
        <f t="shared" si="49"/>
        <v/>
      </c>
      <c r="BL343" s="10" t="str">
        <f t="shared" si="49"/>
        <v/>
      </c>
    </row>
    <row r="344" spans="2:64" hidden="1" x14ac:dyDescent="0.35">
      <c r="B344" s="23" t="s">
        <v>131</v>
      </c>
      <c r="C344" s="9"/>
      <c r="D344" s="9"/>
      <c r="E344" s="10" t="str">
        <f t="shared" ref="E344:AJ344" si="50">IF(E323=0,"",IF($C$7="EGP",(SUMIFS(E$14:E$81,$BM$14:$BM$81,"Debt",$C$14:$C$81,"EGP",$BP$14:$BP$81,"Property Installments"))+IFERROR((SUMIFS(E$14:E$81,$BM$14:$BM$81,"Debt",$C$14:$C$81,"USD",$BP$14:$BP$81,"Property Installments"))*E$11,0),(SUMIFS(E$14:E$81,$BM$14:$BM$81,"Debt",$C$14:$C$81,"USD",$BP$14:$BP$81,"Property Installments"))+IFERROR((SUMIFS(E$14:E$81,$BM$14:$BM$81,"Debt",$C$14:$C$81,"EGP",$BP$14:$BP$81,"Property Installments"))/E$11,0)))</f>
        <v/>
      </c>
      <c r="F344" s="10" t="str">
        <f t="shared" si="50"/>
        <v/>
      </c>
      <c r="G344" s="10" t="str">
        <f t="shared" si="50"/>
        <v/>
      </c>
      <c r="H344" s="10" t="str">
        <f t="shared" si="50"/>
        <v/>
      </c>
      <c r="I344" s="10" t="str">
        <f t="shared" si="50"/>
        <v/>
      </c>
      <c r="J344" s="10" t="str">
        <f t="shared" si="50"/>
        <v/>
      </c>
      <c r="K344" s="10" t="str">
        <f t="shared" si="50"/>
        <v/>
      </c>
      <c r="L344" s="10" t="str">
        <f t="shared" si="50"/>
        <v/>
      </c>
      <c r="M344" s="10" t="str">
        <f t="shared" si="50"/>
        <v/>
      </c>
      <c r="N344" s="10" t="str">
        <f t="shared" si="50"/>
        <v/>
      </c>
      <c r="O344" s="10" t="str">
        <f t="shared" si="50"/>
        <v/>
      </c>
      <c r="P344" s="10" t="str">
        <f t="shared" si="50"/>
        <v/>
      </c>
      <c r="Q344" s="10" t="str">
        <f t="shared" si="50"/>
        <v/>
      </c>
      <c r="R344" s="10" t="str">
        <f t="shared" si="50"/>
        <v/>
      </c>
      <c r="S344" s="10" t="str">
        <f t="shared" si="50"/>
        <v/>
      </c>
      <c r="T344" s="10" t="str">
        <f t="shared" si="50"/>
        <v/>
      </c>
      <c r="U344" s="10" t="str">
        <f t="shared" si="50"/>
        <v/>
      </c>
      <c r="V344" s="10" t="str">
        <f t="shared" si="50"/>
        <v/>
      </c>
      <c r="W344" s="10" t="str">
        <f t="shared" si="50"/>
        <v/>
      </c>
      <c r="X344" s="10" t="str">
        <f t="shared" si="50"/>
        <v/>
      </c>
      <c r="Y344" s="10" t="str">
        <f t="shared" si="50"/>
        <v/>
      </c>
      <c r="Z344" s="10" t="str">
        <f t="shared" si="50"/>
        <v/>
      </c>
      <c r="AA344" s="10" t="str">
        <f t="shared" si="50"/>
        <v/>
      </c>
      <c r="AB344" s="10" t="str">
        <f t="shared" si="50"/>
        <v/>
      </c>
      <c r="AC344" s="10" t="str">
        <f t="shared" si="50"/>
        <v/>
      </c>
      <c r="AD344" s="10" t="str">
        <f t="shared" si="50"/>
        <v/>
      </c>
      <c r="AE344" s="10" t="str">
        <f t="shared" si="50"/>
        <v/>
      </c>
      <c r="AF344" s="10" t="str">
        <f t="shared" si="50"/>
        <v/>
      </c>
      <c r="AG344" s="10" t="str">
        <f t="shared" si="50"/>
        <v/>
      </c>
      <c r="AH344" s="10" t="str">
        <f t="shared" si="50"/>
        <v/>
      </c>
      <c r="AI344" s="10" t="str">
        <f t="shared" si="50"/>
        <v/>
      </c>
      <c r="AJ344" s="10" t="str">
        <f t="shared" si="50"/>
        <v/>
      </c>
      <c r="AK344" s="10" t="str">
        <f t="shared" ref="AK344:BL344" si="51">IF(AK323=0,"",IF($C$7="EGP",(SUMIFS(AK$14:AK$81,$BM$14:$BM$81,"Debt",$C$14:$C$81,"EGP",$BP$14:$BP$81,"Property Installments"))+IFERROR((SUMIFS(AK$14:AK$81,$BM$14:$BM$81,"Debt",$C$14:$C$81,"USD",$BP$14:$BP$81,"Property Installments"))*AK$11,0),(SUMIFS(AK$14:AK$81,$BM$14:$BM$81,"Debt",$C$14:$C$81,"USD",$BP$14:$BP$81,"Property Installments"))+IFERROR((SUMIFS(AK$14:AK$81,$BM$14:$BM$81,"Debt",$C$14:$C$81,"EGP",$BP$14:$BP$81,"Property Installments"))/AK$11,0)))</f>
        <v/>
      </c>
      <c r="AL344" s="10" t="str">
        <f t="shared" si="51"/>
        <v/>
      </c>
      <c r="AM344" s="10" t="str">
        <f t="shared" si="51"/>
        <v/>
      </c>
      <c r="AN344" s="10" t="str">
        <f t="shared" si="51"/>
        <v/>
      </c>
      <c r="AO344" s="10" t="str">
        <f t="shared" si="51"/>
        <v/>
      </c>
      <c r="AP344" s="10" t="str">
        <f t="shared" si="51"/>
        <v/>
      </c>
      <c r="AQ344" s="10" t="str">
        <f t="shared" si="51"/>
        <v/>
      </c>
      <c r="AR344" s="10" t="str">
        <f t="shared" si="51"/>
        <v/>
      </c>
      <c r="AS344" s="10" t="str">
        <f t="shared" si="51"/>
        <v/>
      </c>
      <c r="AT344" s="10" t="str">
        <f t="shared" si="51"/>
        <v/>
      </c>
      <c r="AU344" s="10" t="str">
        <f t="shared" si="51"/>
        <v/>
      </c>
      <c r="AV344" s="10" t="str">
        <f t="shared" si="51"/>
        <v/>
      </c>
      <c r="AW344" s="10" t="str">
        <f t="shared" si="51"/>
        <v/>
      </c>
      <c r="AX344" s="10" t="str">
        <f t="shared" si="51"/>
        <v/>
      </c>
      <c r="AY344" s="10" t="str">
        <f t="shared" si="51"/>
        <v/>
      </c>
      <c r="AZ344" s="10" t="str">
        <f t="shared" si="51"/>
        <v/>
      </c>
      <c r="BA344" s="10" t="str">
        <f t="shared" si="51"/>
        <v/>
      </c>
      <c r="BB344" s="10" t="str">
        <f t="shared" si="51"/>
        <v/>
      </c>
      <c r="BC344" s="10" t="str">
        <f t="shared" si="51"/>
        <v/>
      </c>
      <c r="BD344" s="10" t="str">
        <f t="shared" si="51"/>
        <v/>
      </c>
      <c r="BE344" s="10" t="str">
        <f t="shared" si="51"/>
        <v/>
      </c>
      <c r="BF344" s="10" t="str">
        <f t="shared" si="51"/>
        <v/>
      </c>
      <c r="BG344" s="10" t="str">
        <f t="shared" si="51"/>
        <v/>
      </c>
      <c r="BH344" s="10" t="str">
        <f t="shared" si="51"/>
        <v/>
      </c>
      <c r="BI344" s="10" t="str">
        <f t="shared" si="51"/>
        <v/>
      </c>
      <c r="BJ344" s="10" t="str">
        <f t="shared" si="51"/>
        <v/>
      </c>
      <c r="BK344" s="10" t="str">
        <f t="shared" si="51"/>
        <v/>
      </c>
      <c r="BL344" s="10" t="str">
        <f t="shared" si="51"/>
        <v/>
      </c>
    </row>
    <row r="345" spans="2:64" hidden="1" x14ac:dyDescent="0.35">
      <c r="B345" s="23" t="s">
        <v>132</v>
      </c>
      <c r="C345" s="9"/>
      <c r="D345" s="9"/>
      <c r="E345" s="10" t="str">
        <f t="shared" ref="E345:AJ345" si="52">IF(E323=0,"",IF($C$7="EGP",(SUMIFS(E$14:E$81,$BM$14:$BM$81,"Debt",$C$14:$C$81,"EGP",$BP$14:$BP$81,"Credit Cards"))+IFERROR((SUMIFS(E$14:E$81,$BM$14:$BM$81,"Debt",$C$14:$C$81,"USD",$BP$14:$BP$81,"Credit Cards"))*E$11,0),(SUMIFS(E$14:E$81,$BM$14:$BM$81,"Debt",$C$14:$C$81,"USD",$BP$14:$BP$81,"Credit Cards"))+IFERROR((SUMIFS(E$14:E$81,$BM$14:$BM$81,"Debt",$C$14:$C$81,"EGP",$BP$14:$BP$81,"Credit Cards"))/E$11,0)))</f>
        <v/>
      </c>
      <c r="F345" s="10" t="str">
        <f t="shared" si="52"/>
        <v/>
      </c>
      <c r="G345" s="10" t="str">
        <f t="shared" si="52"/>
        <v/>
      </c>
      <c r="H345" s="10" t="str">
        <f t="shared" si="52"/>
        <v/>
      </c>
      <c r="I345" s="10" t="str">
        <f t="shared" si="52"/>
        <v/>
      </c>
      <c r="J345" s="10" t="str">
        <f t="shared" si="52"/>
        <v/>
      </c>
      <c r="K345" s="10" t="str">
        <f t="shared" si="52"/>
        <v/>
      </c>
      <c r="L345" s="10" t="str">
        <f t="shared" si="52"/>
        <v/>
      </c>
      <c r="M345" s="10" t="str">
        <f t="shared" si="52"/>
        <v/>
      </c>
      <c r="N345" s="10" t="str">
        <f t="shared" si="52"/>
        <v/>
      </c>
      <c r="O345" s="10" t="str">
        <f t="shared" si="52"/>
        <v/>
      </c>
      <c r="P345" s="10" t="str">
        <f t="shared" si="52"/>
        <v/>
      </c>
      <c r="Q345" s="10" t="str">
        <f t="shared" si="52"/>
        <v/>
      </c>
      <c r="R345" s="10" t="str">
        <f t="shared" si="52"/>
        <v/>
      </c>
      <c r="S345" s="10" t="str">
        <f t="shared" si="52"/>
        <v/>
      </c>
      <c r="T345" s="10" t="str">
        <f t="shared" si="52"/>
        <v/>
      </c>
      <c r="U345" s="10" t="str">
        <f t="shared" si="52"/>
        <v/>
      </c>
      <c r="V345" s="10" t="str">
        <f t="shared" si="52"/>
        <v/>
      </c>
      <c r="W345" s="10" t="str">
        <f t="shared" si="52"/>
        <v/>
      </c>
      <c r="X345" s="10" t="str">
        <f t="shared" si="52"/>
        <v/>
      </c>
      <c r="Y345" s="10" t="str">
        <f t="shared" si="52"/>
        <v/>
      </c>
      <c r="Z345" s="10" t="str">
        <f t="shared" si="52"/>
        <v/>
      </c>
      <c r="AA345" s="10" t="str">
        <f t="shared" si="52"/>
        <v/>
      </c>
      <c r="AB345" s="10" t="str">
        <f t="shared" si="52"/>
        <v/>
      </c>
      <c r="AC345" s="10" t="str">
        <f t="shared" si="52"/>
        <v/>
      </c>
      <c r="AD345" s="10" t="str">
        <f t="shared" si="52"/>
        <v/>
      </c>
      <c r="AE345" s="10" t="str">
        <f t="shared" si="52"/>
        <v/>
      </c>
      <c r="AF345" s="10" t="str">
        <f t="shared" si="52"/>
        <v/>
      </c>
      <c r="AG345" s="10" t="str">
        <f t="shared" si="52"/>
        <v/>
      </c>
      <c r="AH345" s="10" t="str">
        <f t="shared" si="52"/>
        <v/>
      </c>
      <c r="AI345" s="10" t="str">
        <f t="shared" si="52"/>
        <v/>
      </c>
      <c r="AJ345" s="10" t="str">
        <f t="shared" si="52"/>
        <v/>
      </c>
      <c r="AK345" s="10" t="str">
        <f t="shared" ref="AK345:BL345" si="53">IF(AK323=0,"",IF($C$7="EGP",(SUMIFS(AK$14:AK$81,$BM$14:$BM$81,"Debt",$C$14:$C$81,"EGP",$BP$14:$BP$81,"Credit Cards"))+IFERROR((SUMIFS(AK$14:AK$81,$BM$14:$BM$81,"Debt",$C$14:$C$81,"USD",$BP$14:$BP$81,"Credit Cards"))*AK$11,0),(SUMIFS(AK$14:AK$81,$BM$14:$BM$81,"Debt",$C$14:$C$81,"USD",$BP$14:$BP$81,"Credit Cards"))+IFERROR((SUMIFS(AK$14:AK$81,$BM$14:$BM$81,"Debt",$C$14:$C$81,"EGP",$BP$14:$BP$81,"Credit Cards"))/AK$11,0)))</f>
        <v/>
      </c>
      <c r="AL345" s="10" t="str">
        <f t="shared" si="53"/>
        <v/>
      </c>
      <c r="AM345" s="10" t="str">
        <f t="shared" si="53"/>
        <v/>
      </c>
      <c r="AN345" s="10" t="str">
        <f t="shared" si="53"/>
        <v/>
      </c>
      <c r="AO345" s="10" t="str">
        <f t="shared" si="53"/>
        <v/>
      </c>
      <c r="AP345" s="10" t="str">
        <f t="shared" si="53"/>
        <v/>
      </c>
      <c r="AQ345" s="10" t="str">
        <f t="shared" si="53"/>
        <v/>
      </c>
      <c r="AR345" s="10" t="str">
        <f t="shared" si="53"/>
        <v/>
      </c>
      <c r="AS345" s="10" t="str">
        <f t="shared" si="53"/>
        <v/>
      </c>
      <c r="AT345" s="10" t="str">
        <f t="shared" si="53"/>
        <v/>
      </c>
      <c r="AU345" s="10" t="str">
        <f t="shared" si="53"/>
        <v/>
      </c>
      <c r="AV345" s="10" t="str">
        <f t="shared" si="53"/>
        <v/>
      </c>
      <c r="AW345" s="10" t="str">
        <f t="shared" si="53"/>
        <v/>
      </c>
      <c r="AX345" s="10" t="str">
        <f t="shared" si="53"/>
        <v/>
      </c>
      <c r="AY345" s="10" t="str">
        <f t="shared" si="53"/>
        <v/>
      </c>
      <c r="AZ345" s="10" t="str">
        <f t="shared" si="53"/>
        <v/>
      </c>
      <c r="BA345" s="10" t="str">
        <f t="shared" si="53"/>
        <v/>
      </c>
      <c r="BB345" s="10" t="str">
        <f t="shared" si="53"/>
        <v/>
      </c>
      <c r="BC345" s="10" t="str">
        <f t="shared" si="53"/>
        <v/>
      </c>
      <c r="BD345" s="10" t="str">
        <f t="shared" si="53"/>
        <v/>
      </c>
      <c r="BE345" s="10" t="str">
        <f t="shared" si="53"/>
        <v/>
      </c>
      <c r="BF345" s="10" t="str">
        <f t="shared" si="53"/>
        <v/>
      </c>
      <c r="BG345" s="10" t="str">
        <f t="shared" si="53"/>
        <v/>
      </c>
      <c r="BH345" s="10" t="str">
        <f t="shared" si="53"/>
        <v/>
      </c>
      <c r="BI345" s="10" t="str">
        <f t="shared" si="53"/>
        <v/>
      </c>
      <c r="BJ345" s="10" t="str">
        <f t="shared" si="53"/>
        <v/>
      </c>
      <c r="BK345" s="10" t="str">
        <f t="shared" si="53"/>
        <v/>
      </c>
      <c r="BL345" s="10" t="str">
        <f t="shared" si="53"/>
        <v/>
      </c>
    </row>
    <row r="346" spans="2:64" hidden="1" x14ac:dyDescent="0.35">
      <c r="B346" s="23" t="s">
        <v>133</v>
      </c>
      <c r="C346" s="9"/>
      <c r="D346" s="9"/>
      <c r="E346" s="10" t="str">
        <f t="shared" ref="E346:AJ346" si="54">IF(E323=0,"",IF($C$7="EGP",(SUMIFS(E$14:E$81,$BM$14:$BM$81,"Debt",$C$14:$C$81,"EGP",$BP$14:$BP$81,"Car Loans"))+IFERROR((SUMIFS(E$14:E$81,$BM$14:$BM$81,"Debt",$C$14:$C$81,"USD",$BP$14:$BP$81,"Car Loans"))*E$11,0),(SUMIFS(E$14:E$81,$BM$14:$BM$81,"Debt",$C$14:$C$81,"USD",$BP$14:$BP$81,"Car Loans"))+IFERROR((SUMIFS(E$14:E$81,$BM$14:$BM$81,"Debt",$C$14:$C$81,"EGP",$BP$14:$BP$81,"Car Loans"))/E$11,0)))</f>
        <v/>
      </c>
      <c r="F346" s="10" t="str">
        <f t="shared" si="54"/>
        <v/>
      </c>
      <c r="G346" s="10" t="str">
        <f t="shared" si="54"/>
        <v/>
      </c>
      <c r="H346" s="10" t="str">
        <f t="shared" si="54"/>
        <v/>
      </c>
      <c r="I346" s="10" t="str">
        <f t="shared" si="54"/>
        <v/>
      </c>
      <c r="J346" s="10" t="str">
        <f t="shared" si="54"/>
        <v/>
      </c>
      <c r="K346" s="10" t="str">
        <f t="shared" si="54"/>
        <v/>
      </c>
      <c r="L346" s="10" t="str">
        <f t="shared" si="54"/>
        <v/>
      </c>
      <c r="M346" s="10" t="str">
        <f t="shared" si="54"/>
        <v/>
      </c>
      <c r="N346" s="10" t="str">
        <f t="shared" si="54"/>
        <v/>
      </c>
      <c r="O346" s="10" t="str">
        <f t="shared" si="54"/>
        <v/>
      </c>
      <c r="P346" s="10" t="str">
        <f t="shared" si="54"/>
        <v/>
      </c>
      <c r="Q346" s="10" t="str">
        <f t="shared" si="54"/>
        <v/>
      </c>
      <c r="R346" s="10" t="str">
        <f t="shared" si="54"/>
        <v/>
      </c>
      <c r="S346" s="10" t="str">
        <f t="shared" si="54"/>
        <v/>
      </c>
      <c r="T346" s="10" t="str">
        <f t="shared" si="54"/>
        <v/>
      </c>
      <c r="U346" s="10" t="str">
        <f t="shared" si="54"/>
        <v/>
      </c>
      <c r="V346" s="10" t="str">
        <f t="shared" si="54"/>
        <v/>
      </c>
      <c r="W346" s="10" t="str">
        <f t="shared" si="54"/>
        <v/>
      </c>
      <c r="X346" s="10" t="str">
        <f t="shared" si="54"/>
        <v/>
      </c>
      <c r="Y346" s="10" t="str">
        <f t="shared" si="54"/>
        <v/>
      </c>
      <c r="Z346" s="10" t="str">
        <f t="shared" si="54"/>
        <v/>
      </c>
      <c r="AA346" s="10" t="str">
        <f t="shared" si="54"/>
        <v/>
      </c>
      <c r="AB346" s="10" t="str">
        <f t="shared" si="54"/>
        <v/>
      </c>
      <c r="AC346" s="10" t="str">
        <f t="shared" si="54"/>
        <v/>
      </c>
      <c r="AD346" s="10" t="str">
        <f t="shared" si="54"/>
        <v/>
      </c>
      <c r="AE346" s="10" t="str">
        <f t="shared" si="54"/>
        <v/>
      </c>
      <c r="AF346" s="10" t="str">
        <f t="shared" si="54"/>
        <v/>
      </c>
      <c r="AG346" s="10" t="str">
        <f t="shared" si="54"/>
        <v/>
      </c>
      <c r="AH346" s="10" t="str">
        <f t="shared" si="54"/>
        <v/>
      </c>
      <c r="AI346" s="10" t="str">
        <f t="shared" si="54"/>
        <v/>
      </c>
      <c r="AJ346" s="10" t="str">
        <f t="shared" si="54"/>
        <v/>
      </c>
      <c r="AK346" s="10" t="str">
        <f t="shared" ref="AK346:BL346" si="55">IF(AK323=0,"",IF($C$7="EGP",(SUMIFS(AK$14:AK$81,$BM$14:$BM$81,"Debt",$C$14:$C$81,"EGP",$BP$14:$BP$81,"Car Loans"))+IFERROR((SUMIFS(AK$14:AK$81,$BM$14:$BM$81,"Debt",$C$14:$C$81,"USD",$BP$14:$BP$81,"Car Loans"))*AK$11,0),(SUMIFS(AK$14:AK$81,$BM$14:$BM$81,"Debt",$C$14:$C$81,"USD",$BP$14:$BP$81,"Car Loans"))+IFERROR((SUMIFS(AK$14:AK$81,$BM$14:$BM$81,"Debt",$C$14:$C$81,"EGP",$BP$14:$BP$81,"Car Loans"))/AK$11,0)))</f>
        <v/>
      </c>
      <c r="AL346" s="10" t="str">
        <f t="shared" si="55"/>
        <v/>
      </c>
      <c r="AM346" s="10" t="str">
        <f t="shared" si="55"/>
        <v/>
      </c>
      <c r="AN346" s="10" t="str">
        <f t="shared" si="55"/>
        <v/>
      </c>
      <c r="AO346" s="10" t="str">
        <f t="shared" si="55"/>
        <v/>
      </c>
      <c r="AP346" s="10" t="str">
        <f t="shared" si="55"/>
        <v/>
      </c>
      <c r="AQ346" s="10" t="str">
        <f t="shared" si="55"/>
        <v/>
      </c>
      <c r="AR346" s="10" t="str">
        <f t="shared" si="55"/>
        <v/>
      </c>
      <c r="AS346" s="10" t="str">
        <f t="shared" si="55"/>
        <v/>
      </c>
      <c r="AT346" s="10" t="str">
        <f t="shared" si="55"/>
        <v/>
      </c>
      <c r="AU346" s="10" t="str">
        <f t="shared" si="55"/>
        <v/>
      </c>
      <c r="AV346" s="10" t="str">
        <f t="shared" si="55"/>
        <v/>
      </c>
      <c r="AW346" s="10" t="str">
        <f t="shared" si="55"/>
        <v/>
      </c>
      <c r="AX346" s="10" t="str">
        <f t="shared" si="55"/>
        <v/>
      </c>
      <c r="AY346" s="10" t="str">
        <f t="shared" si="55"/>
        <v/>
      </c>
      <c r="AZ346" s="10" t="str">
        <f t="shared" si="55"/>
        <v/>
      </c>
      <c r="BA346" s="10" t="str">
        <f t="shared" si="55"/>
        <v/>
      </c>
      <c r="BB346" s="10" t="str">
        <f t="shared" si="55"/>
        <v/>
      </c>
      <c r="BC346" s="10" t="str">
        <f t="shared" si="55"/>
        <v/>
      </c>
      <c r="BD346" s="10" t="str">
        <f t="shared" si="55"/>
        <v/>
      </c>
      <c r="BE346" s="10" t="str">
        <f t="shared" si="55"/>
        <v/>
      </c>
      <c r="BF346" s="10" t="str">
        <f t="shared" si="55"/>
        <v/>
      </c>
      <c r="BG346" s="10" t="str">
        <f t="shared" si="55"/>
        <v/>
      </c>
      <c r="BH346" s="10" t="str">
        <f t="shared" si="55"/>
        <v/>
      </c>
      <c r="BI346" s="10" t="str">
        <f t="shared" si="55"/>
        <v/>
      </c>
      <c r="BJ346" s="10" t="str">
        <f t="shared" si="55"/>
        <v/>
      </c>
      <c r="BK346" s="10" t="str">
        <f t="shared" si="55"/>
        <v/>
      </c>
      <c r="BL346" s="10" t="str">
        <f t="shared" si="55"/>
        <v/>
      </c>
    </row>
    <row r="347" spans="2:64" hidden="1" x14ac:dyDescent="0.35">
      <c r="B347" s="23" t="s">
        <v>134</v>
      </c>
      <c r="C347" s="9"/>
      <c r="D347" s="9"/>
      <c r="E347" s="10" t="str">
        <f t="shared" ref="E347:AJ347" si="56">IF(E323=0,"",IF($C$7="EGP",(SUMIFS(E$14:E$81,$BM$14:$BM$81,"Debt",$C$14:$C$81,"EGP",$BP$14:$BP$81,"Personal Loans"))+IFERROR((SUMIFS(E$14:E$81,$BM$14:$BM$81,"Debt",$C$14:$C$81,"USD",$BP$14:$BP$81,"Personal Loans"))*E$11,0),(SUMIFS(E$14:E$81,$BM$14:$BM$81,"Debt",$C$14:$C$81,"USD",$BP$14:$BP$81,"Personal Loans"))+IFERROR((SUMIFS(E$14:E$81,$BM$14:$BM$81,"Debt",$C$14:$C$81,"EGP",$BP$14:$BP$81,"Personal Loans"))/E$11,0)))</f>
        <v/>
      </c>
      <c r="F347" s="10" t="str">
        <f t="shared" si="56"/>
        <v/>
      </c>
      <c r="G347" s="10" t="str">
        <f t="shared" si="56"/>
        <v/>
      </c>
      <c r="H347" s="10" t="str">
        <f t="shared" si="56"/>
        <v/>
      </c>
      <c r="I347" s="10" t="str">
        <f t="shared" si="56"/>
        <v/>
      </c>
      <c r="J347" s="10" t="str">
        <f t="shared" si="56"/>
        <v/>
      </c>
      <c r="K347" s="10" t="str">
        <f t="shared" si="56"/>
        <v/>
      </c>
      <c r="L347" s="10" t="str">
        <f t="shared" si="56"/>
        <v/>
      </c>
      <c r="M347" s="10" t="str">
        <f t="shared" si="56"/>
        <v/>
      </c>
      <c r="N347" s="10" t="str">
        <f t="shared" si="56"/>
        <v/>
      </c>
      <c r="O347" s="10" t="str">
        <f t="shared" si="56"/>
        <v/>
      </c>
      <c r="P347" s="10" t="str">
        <f t="shared" si="56"/>
        <v/>
      </c>
      <c r="Q347" s="10" t="str">
        <f t="shared" si="56"/>
        <v/>
      </c>
      <c r="R347" s="10" t="str">
        <f t="shared" si="56"/>
        <v/>
      </c>
      <c r="S347" s="10" t="str">
        <f t="shared" si="56"/>
        <v/>
      </c>
      <c r="T347" s="10" t="str">
        <f t="shared" si="56"/>
        <v/>
      </c>
      <c r="U347" s="10" t="str">
        <f t="shared" si="56"/>
        <v/>
      </c>
      <c r="V347" s="10" t="str">
        <f t="shared" si="56"/>
        <v/>
      </c>
      <c r="W347" s="10" t="str">
        <f t="shared" si="56"/>
        <v/>
      </c>
      <c r="X347" s="10" t="str">
        <f t="shared" si="56"/>
        <v/>
      </c>
      <c r="Y347" s="10" t="str">
        <f t="shared" si="56"/>
        <v/>
      </c>
      <c r="Z347" s="10" t="str">
        <f t="shared" si="56"/>
        <v/>
      </c>
      <c r="AA347" s="10" t="str">
        <f t="shared" si="56"/>
        <v/>
      </c>
      <c r="AB347" s="10" t="str">
        <f t="shared" si="56"/>
        <v/>
      </c>
      <c r="AC347" s="10" t="str">
        <f t="shared" si="56"/>
        <v/>
      </c>
      <c r="AD347" s="10" t="str">
        <f t="shared" si="56"/>
        <v/>
      </c>
      <c r="AE347" s="10" t="str">
        <f t="shared" si="56"/>
        <v/>
      </c>
      <c r="AF347" s="10" t="str">
        <f t="shared" si="56"/>
        <v/>
      </c>
      <c r="AG347" s="10" t="str">
        <f t="shared" si="56"/>
        <v/>
      </c>
      <c r="AH347" s="10" t="str">
        <f t="shared" si="56"/>
        <v/>
      </c>
      <c r="AI347" s="10" t="str">
        <f t="shared" si="56"/>
        <v/>
      </c>
      <c r="AJ347" s="10" t="str">
        <f t="shared" si="56"/>
        <v/>
      </c>
      <c r="AK347" s="10" t="str">
        <f t="shared" ref="AK347:BL347" si="57">IF(AK323=0,"",IF($C$7="EGP",(SUMIFS(AK$14:AK$81,$BM$14:$BM$81,"Debt",$C$14:$C$81,"EGP",$BP$14:$BP$81,"Personal Loans"))+IFERROR((SUMIFS(AK$14:AK$81,$BM$14:$BM$81,"Debt",$C$14:$C$81,"USD",$BP$14:$BP$81,"Personal Loans"))*AK$11,0),(SUMIFS(AK$14:AK$81,$BM$14:$BM$81,"Debt",$C$14:$C$81,"USD",$BP$14:$BP$81,"Personal Loans"))+IFERROR((SUMIFS(AK$14:AK$81,$BM$14:$BM$81,"Debt",$C$14:$C$81,"EGP",$BP$14:$BP$81,"Personal Loans"))/AK$11,0)))</f>
        <v/>
      </c>
      <c r="AL347" s="10" t="str">
        <f t="shared" si="57"/>
        <v/>
      </c>
      <c r="AM347" s="10" t="str">
        <f t="shared" si="57"/>
        <v/>
      </c>
      <c r="AN347" s="10" t="str">
        <f t="shared" si="57"/>
        <v/>
      </c>
      <c r="AO347" s="10" t="str">
        <f t="shared" si="57"/>
        <v/>
      </c>
      <c r="AP347" s="10" t="str">
        <f t="shared" si="57"/>
        <v/>
      </c>
      <c r="AQ347" s="10" t="str">
        <f t="shared" si="57"/>
        <v/>
      </c>
      <c r="AR347" s="10" t="str">
        <f t="shared" si="57"/>
        <v/>
      </c>
      <c r="AS347" s="10" t="str">
        <f t="shared" si="57"/>
        <v/>
      </c>
      <c r="AT347" s="10" t="str">
        <f t="shared" si="57"/>
        <v/>
      </c>
      <c r="AU347" s="10" t="str">
        <f t="shared" si="57"/>
        <v/>
      </c>
      <c r="AV347" s="10" t="str">
        <f t="shared" si="57"/>
        <v/>
      </c>
      <c r="AW347" s="10" t="str">
        <f t="shared" si="57"/>
        <v/>
      </c>
      <c r="AX347" s="10" t="str">
        <f t="shared" si="57"/>
        <v/>
      </c>
      <c r="AY347" s="10" t="str">
        <f t="shared" si="57"/>
        <v/>
      </c>
      <c r="AZ347" s="10" t="str">
        <f t="shared" si="57"/>
        <v/>
      </c>
      <c r="BA347" s="10" t="str">
        <f t="shared" si="57"/>
        <v/>
      </c>
      <c r="BB347" s="10" t="str">
        <f t="shared" si="57"/>
        <v/>
      </c>
      <c r="BC347" s="10" t="str">
        <f t="shared" si="57"/>
        <v/>
      </c>
      <c r="BD347" s="10" t="str">
        <f t="shared" si="57"/>
        <v/>
      </c>
      <c r="BE347" s="10" t="str">
        <f t="shared" si="57"/>
        <v/>
      </c>
      <c r="BF347" s="10" t="str">
        <f t="shared" si="57"/>
        <v/>
      </c>
      <c r="BG347" s="10" t="str">
        <f t="shared" si="57"/>
        <v/>
      </c>
      <c r="BH347" s="10" t="str">
        <f t="shared" si="57"/>
        <v/>
      </c>
      <c r="BI347" s="10" t="str">
        <f t="shared" si="57"/>
        <v/>
      </c>
      <c r="BJ347" s="10" t="str">
        <f t="shared" si="57"/>
        <v/>
      </c>
      <c r="BK347" s="10" t="str">
        <f t="shared" si="57"/>
        <v/>
      </c>
      <c r="BL347" s="10" t="str">
        <f t="shared" si="57"/>
        <v/>
      </c>
    </row>
    <row r="348" spans="2:64" hidden="1" x14ac:dyDescent="0.35">
      <c r="B348" s="23" t="s">
        <v>135</v>
      </c>
      <c r="C348" s="9"/>
      <c r="D348" s="9"/>
      <c r="E348" s="10" t="str">
        <f t="shared" ref="E348:AJ348" si="58">IF(E323=0,"",IF($C$7="EGP",(SUMIFS(E$14:E$81,$BM$14:$BM$81,"Debt",$C$14:$C$81,"EGP",$BP$14:$BP$81,"Other Debts"))+IFERROR((SUMIFS(E$14:E$81,$BM$14:$BM$81,"Debt",$C$14:$C$81,"USD",$BP$14:$BP$81,"Other Debts"))*E$11,0),(SUMIFS(E$14:E$81,$BM$14:$BM$81,"Debt",$C$14:$C$81,"USD",$BP$14:$BP$81,"Other Debts"))+IFERROR((SUMIFS(E$14:E$81,$BM$14:$BM$81,"Debt",$C$14:$C$81,"EGP",$BP$14:$BP$81,"Other Debts"))/E$11,0)))</f>
        <v/>
      </c>
      <c r="F348" s="10" t="str">
        <f t="shared" si="58"/>
        <v/>
      </c>
      <c r="G348" s="10" t="str">
        <f t="shared" si="58"/>
        <v/>
      </c>
      <c r="H348" s="10" t="str">
        <f t="shared" si="58"/>
        <v/>
      </c>
      <c r="I348" s="10" t="str">
        <f t="shared" si="58"/>
        <v/>
      </c>
      <c r="J348" s="10" t="str">
        <f t="shared" si="58"/>
        <v/>
      </c>
      <c r="K348" s="10" t="str">
        <f t="shared" si="58"/>
        <v/>
      </c>
      <c r="L348" s="10" t="str">
        <f t="shared" si="58"/>
        <v/>
      </c>
      <c r="M348" s="10" t="str">
        <f t="shared" si="58"/>
        <v/>
      </c>
      <c r="N348" s="10" t="str">
        <f t="shared" si="58"/>
        <v/>
      </c>
      <c r="O348" s="10" t="str">
        <f t="shared" si="58"/>
        <v/>
      </c>
      <c r="P348" s="10" t="str">
        <f t="shared" si="58"/>
        <v/>
      </c>
      <c r="Q348" s="10" t="str">
        <f t="shared" si="58"/>
        <v/>
      </c>
      <c r="R348" s="10" t="str">
        <f t="shared" si="58"/>
        <v/>
      </c>
      <c r="S348" s="10" t="str">
        <f t="shared" si="58"/>
        <v/>
      </c>
      <c r="T348" s="10" t="str">
        <f t="shared" si="58"/>
        <v/>
      </c>
      <c r="U348" s="10" t="str">
        <f t="shared" si="58"/>
        <v/>
      </c>
      <c r="V348" s="10" t="str">
        <f t="shared" si="58"/>
        <v/>
      </c>
      <c r="W348" s="10" t="str">
        <f t="shared" si="58"/>
        <v/>
      </c>
      <c r="X348" s="10" t="str">
        <f t="shared" si="58"/>
        <v/>
      </c>
      <c r="Y348" s="10" t="str">
        <f t="shared" si="58"/>
        <v/>
      </c>
      <c r="Z348" s="10" t="str">
        <f t="shared" si="58"/>
        <v/>
      </c>
      <c r="AA348" s="10" t="str">
        <f t="shared" si="58"/>
        <v/>
      </c>
      <c r="AB348" s="10" t="str">
        <f t="shared" si="58"/>
        <v/>
      </c>
      <c r="AC348" s="10" t="str">
        <f t="shared" si="58"/>
        <v/>
      </c>
      <c r="AD348" s="10" t="str">
        <f t="shared" si="58"/>
        <v/>
      </c>
      <c r="AE348" s="10" t="str">
        <f t="shared" si="58"/>
        <v/>
      </c>
      <c r="AF348" s="10" t="str">
        <f t="shared" si="58"/>
        <v/>
      </c>
      <c r="AG348" s="10" t="str">
        <f t="shared" si="58"/>
        <v/>
      </c>
      <c r="AH348" s="10" t="str">
        <f t="shared" si="58"/>
        <v/>
      </c>
      <c r="AI348" s="10" t="str">
        <f t="shared" si="58"/>
        <v/>
      </c>
      <c r="AJ348" s="10" t="str">
        <f t="shared" si="58"/>
        <v/>
      </c>
      <c r="AK348" s="10" t="str">
        <f t="shared" ref="AK348:BL348" si="59">IF(AK323=0,"",IF($C$7="EGP",(SUMIFS(AK$14:AK$81,$BM$14:$BM$81,"Debt",$C$14:$C$81,"EGP",$BP$14:$BP$81,"Other Debts"))+IFERROR((SUMIFS(AK$14:AK$81,$BM$14:$BM$81,"Debt",$C$14:$C$81,"USD",$BP$14:$BP$81,"Other Debts"))*AK$11,0),(SUMIFS(AK$14:AK$81,$BM$14:$BM$81,"Debt",$C$14:$C$81,"USD",$BP$14:$BP$81,"Other Debts"))+IFERROR((SUMIFS(AK$14:AK$81,$BM$14:$BM$81,"Debt",$C$14:$C$81,"EGP",$BP$14:$BP$81,"Other Debts"))/AK$11,0)))</f>
        <v/>
      </c>
      <c r="AL348" s="10" t="str">
        <f t="shared" si="59"/>
        <v/>
      </c>
      <c r="AM348" s="10" t="str">
        <f t="shared" si="59"/>
        <v/>
      </c>
      <c r="AN348" s="10" t="str">
        <f t="shared" si="59"/>
        <v/>
      </c>
      <c r="AO348" s="10" t="str">
        <f t="shared" si="59"/>
        <v/>
      </c>
      <c r="AP348" s="10" t="str">
        <f t="shared" si="59"/>
        <v/>
      </c>
      <c r="AQ348" s="10" t="str">
        <f t="shared" si="59"/>
        <v/>
      </c>
      <c r="AR348" s="10" t="str">
        <f t="shared" si="59"/>
        <v/>
      </c>
      <c r="AS348" s="10" t="str">
        <f t="shared" si="59"/>
        <v/>
      </c>
      <c r="AT348" s="10" t="str">
        <f t="shared" si="59"/>
        <v/>
      </c>
      <c r="AU348" s="10" t="str">
        <f t="shared" si="59"/>
        <v/>
      </c>
      <c r="AV348" s="10" t="str">
        <f t="shared" si="59"/>
        <v/>
      </c>
      <c r="AW348" s="10" t="str">
        <f t="shared" si="59"/>
        <v/>
      </c>
      <c r="AX348" s="10" t="str">
        <f t="shared" si="59"/>
        <v/>
      </c>
      <c r="AY348" s="10" t="str">
        <f t="shared" si="59"/>
        <v/>
      </c>
      <c r="AZ348" s="10" t="str">
        <f t="shared" si="59"/>
        <v/>
      </c>
      <c r="BA348" s="10" t="str">
        <f t="shared" si="59"/>
        <v/>
      </c>
      <c r="BB348" s="10" t="str">
        <f t="shared" si="59"/>
        <v/>
      </c>
      <c r="BC348" s="10" t="str">
        <f t="shared" si="59"/>
        <v/>
      </c>
      <c r="BD348" s="10" t="str">
        <f t="shared" si="59"/>
        <v/>
      </c>
      <c r="BE348" s="10" t="str">
        <f t="shared" si="59"/>
        <v/>
      </c>
      <c r="BF348" s="10" t="str">
        <f t="shared" si="59"/>
        <v/>
      </c>
      <c r="BG348" s="10" t="str">
        <f t="shared" si="59"/>
        <v/>
      </c>
      <c r="BH348" s="10" t="str">
        <f t="shared" si="59"/>
        <v/>
      </c>
      <c r="BI348" s="10" t="str">
        <f t="shared" si="59"/>
        <v/>
      </c>
      <c r="BJ348" s="10" t="str">
        <f t="shared" si="59"/>
        <v/>
      </c>
      <c r="BK348" s="10" t="str">
        <f t="shared" si="59"/>
        <v/>
      </c>
      <c r="BL348" s="10" t="str">
        <f t="shared" si="59"/>
        <v/>
      </c>
    </row>
    <row r="380" spans="2:64" hidden="1" x14ac:dyDescent="0.35">
      <c r="B380" t="s">
        <v>136</v>
      </c>
      <c r="E380">
        <v>0</v>
      </c>
      <c r="F380">
        <f>IF(E323=1,1,E380)</f>
        <v>0</v>
      </c>
      <c r="G380">
        <f>IF(F323=1,2,F380)</f>
        <v>0</v>
      </c>
      <c r="H380">
        <f>IF(G323=1,3,G380)</f>
        <v>0</v>
      </c>
      <c r="I380">
        <f>IF(H323=1,4,H380)</f>
        <v>0</v>
      </c>
      <c r="J380">
        <f>IF(I323=1,5,I380)</f>
        <v>0</v>
      </c>
      <c r="K380">
        <f>IF(J323=1,6,J380)</f>
        <v>0</v>
      </c>
      <c r="L380">
        <f>IF(K323=1,7,K380)</f>
        <v>0</v>
      </c>
      <c r="M380">
        <f>IF(L323=1,8,L380)</f>
        <v>0</v>
      </c>
      <c r="N380">
        <f>IF(M323=1,9,M380)</f>
        <v>0</v>
      </c>
      <c r="O380">
        <f>IF(N323=1,10,N380)</f>
        <v>0</v>
      </c>
      <c r="P380">
        <f>IF(O323=1,11,O380)</f>
        <v>0</v>
      </c>
      <c r="Q380">
        <f>IF(P323=1,12,P380)</f>
        <v>0</v>
      </c>
      <c r="R380">
        <f>IF(Q323=1,13,Q380)</f>
        <v>0</v>
      </c>
      <c r="S380">
        <f>IF(R323=1,14,R380)</f>
        <v>0</v>
      </c>
      <c r="T380">
        <f>IF(S323=1,15,S380)</f>
        <v>0</v>
      </c>
      <c r="U380">
        <f>IF(T323=1,16,T380)</f>
        <v>0</v>
      </c>
      <c r="V380">
        <f>IF(U323=1,17,U380)</f>
        <v>0</v>
      </c>
      <c r="W380">
        <f>IF(V323=1,18,V380)</f>
        <v>0</v>
      </c>
      <c r="X380">
        <f>IF(W323=1,19,W380)</f>
        <v>0</v>
      </c>
      <c r="Y380">
        <f>IF(X323=1,20,X380)</f>
        <v>0</v>
      </c>
      <c r="Z380">
        <f>IF(Y323=1,21,Y380)</f>
        <v>0</v>
      </c>
      <c r="AA380">
        <f>IF(Z323=1,22,Z380)</f>
        <v>0</v>
      </c>
      <c r="AB380">
        <f>IF(AA323=1,23,AA380)</f>
        <v>0</v>
      </c>
      <c r="AC380">
        <f>IF(AB323=1,24,AB380)</f>
        <v>0</v>
      </c>
      <c r="AD380">
        <f>IF(AC323=1,25,AC380)</f>
        <v>0</v>
      </c>
      <c r="AE380">
        <f>IF(AD323=1,26,AD380)</f>
        <v>0</v>
      </c>
      <c r="AF380">
        <f>IF(AE323=1,27,AE380)</f>
        <v>0</v>
      </c>
      <c r="AG380">
        <f>IF(AF323=1,28,AF380)</f>
        <v>0</v>
      </c>
      <c r="AH380">
        <f>IF(AG323=1,29,AG380)</f>
        <v>0</v>
      </c>
      <c r="AI380">
        <f>IF(AH323=1,30,AH380)</f>
        <v>0</v>
      </c>
      <c r="AJ380">
        <f>IF(AI323=1,31,AI380)</f>
        <v>0</v>
      </c>
      <c r="AK380">
        <f>IF(AJ323=1,32,AJ380)</f>
        <v>0</v>
      </c>
      <c r="AL380">
        <f>IF(AK323=1,33,AK380)</f>
        <v>0</v>
      </c>
      <c r="AM380">
        <f>IF(AL323=1,34,AL380)</f>
        <v>0</v>
      </c>
      <c r="AN380">
        <f>IF(AM323=1,35,AM380)</f>
        <v>0</v>
      </c>
      <c r="AO380">
        <f>IF(AN323=1,36,AN380)</f>
        <v>0</v>
      </c>
      <c r="AP380">
        <f>IF(AO323=1,37,AO380)</f>
        <v>0</v>
      </c>
      <c r="AQ380">
        <f>IF(AP323=1,38,AP380)</f>
        <v>0</v>
      </c>
      <c r="AR380">
        <f>IF(AQ323=1,39,AQ380)</f>
        <v>0</v>
      </c>
      <c r="AS380">
        <f>IF(AR323=1,40,AR380)</f>
        <v>0</v>
      </c>
      <c r="AT380">
        <f>IF(AS323=1,41,AS380)</f>
        <v>0</v>
      </c>
      <c r="AU380">
        <f>IF(AT323=1,42,AT380)</f>
        <v>0</v>
      </c>
      <c r="AV380">
        <f>IF(AU323=1,43,AU380)</f>
        <v>0</v>
      </c>
      <c r="AW380">
        <f>IF(AV323=1,44,AV380)</f>
        <v>0</v>
      </c>
      <c r="AX380">
        <f>IF(AW323=1,45,AW380)</f>
        <v>0</v>
      </c>
      <c r="AY380">
        <f>IF(AX323=1,46,AX380)</f>
        <v>0</v>
      </c>
      <c r="AZ380">
        <f>IF(AY323=1,47,AY380)</f>
        <v>0</v>
      </c>
      <c r="BA380">
        <f>IF(AZ323=1,48,AZ380)</f>
        <v>0</v>
      </c>
      <c r="BB380">
        <f>IF(BA323=1,49,BA380)</f>
        <v>0</v>
      </c>
      <c r="BC380">
        <f>IF(BB323=1,50,BB380)</f>
        <v>0</v>
      </c>
      <c r="BD380">
        <f>IF(BC323=1,51,BC380)</f>
        <v>0</v>
      </c>
      <c r="BE380">
        <f>IF(BD323=1,52,BD380)</f>
        <v>0</v>
      </c>
      <c r="BF380">
        <f>IF(BE323=1,53,BE380)</f>
        <v>0</v>
      </c>
      <c r="BG380">
        <f>IF(BF323=1,54,BF380)</f>
        <v>0</v>
      </c>
      <c r="BH380">
        <f>IF(BG323=1,55,BG380)</f>
        <v>0</v>
      </c>
      <c r="BI380">
        <f>IF(BH323=1,56,BH380)</f>
        <v>0</v>
      </c>
      <c r="BJ380">
        <f>IF(BI323=1,57,BI380)</f>
        <v>0</v>
      </c>
      <c r="BK380">
        <f>IF(BJ323=1,58,BJ380)</f>
        <v>0</v>
      </c>
      <c r="BL380">
        <f>IF(BK323=1,59,BK380)</f>
        <v>0</v>
      </c>
    </row>
    <row r="381" spans="2:64" hidden="1" x14ac:dyDescent="0.35">
      <c r="B381" t="s">
        <v>137</v>
      </c>
      <c r="E381">
        <f t="shared" ref="E381:AJ381" si="60">COUNT(E14,E15,E16,E17,E18,E21,E22,E23,E24,E27,E28,E29,E33,E34,E35,E36,E39,E40,E43,E44,E45,E46,E47,E48,E49,E50,E53,E54,E55,E56,E57,E58,E61,E62,E63,E64,E65,E66,E67,E68,E69,E70,E71,E74,E75,E76,E77,E78,E79,E80,E81)</f>
        <v>0</v>
      </c>
      <c r="F381">
        <f t="shared" si="60"/>
        <v>0</v>
      </c>
      <c r="G381">
        <f t="shared" si="60"/>
        <v>0</v>
      </c>
      <c r="H381">
        <f t="shared" si="60"/>
        <v>0</v>
      </c>
      <c r="I381">
        <f t="shared" si="60"/>
        <v>0</v>
      </c>
      <c r="J381">
        <f t="shared" si="60"/>
        <v>0</v>
      </c>
      <c r="K381">
        <f t="shared" si="60"/>
        <v>0</v>
      </c>
      <c r="L381">
        <f t="shared" si="60"/>
        <v>0</v>
      </c>
      <c r="M381">
        <f t="shared" si="60"/>
        <v>0</v>
      </c>
      <c r="N381">
        <f t="shared" si="60"/>
        <v>0</v>
      </c>
      <c r="O381">
        <f t="shared" si="60"/>
        <v>0</v>
      </c>
      <c r="P381">
        <f t="shared" si="60"/>
        <v>0</v>
      </c>
      <c r="Q381">
        <f t="shared" si="60"/>
        <v>0</v>
      </c>
      <c r="R381">
        <f t="shared" si="60"/>
        <v>0</v>
      </c>
      <c r="S381">
        <f t="shared" si="60"/>
        <v>0</v>
      </c>
      <c r="T381">
        <f t="shared" si="60"/>
        <v>0</v>
      </c>
      <c r="U381">
        <f t="shared" si="60"/>
        <v>0</v>
      </c>
      <c r="V381">
        <f t="shared" si="60"/>
        <v>0</v>
      </c>
      <c r="W381">
        <f t="shared" si="60"/>
        <v>0</v>
      </c>
      <c r="X381">
        <f t="shared" si="60"/>
        <v>0</v>
      </c>
      <c r="Y381">
        <f t="shared" si="60"/>
        <v>0</v>
      </c>
      <c r="Z381">
        <f t="shared" si="60"/>
        <v>0</v>
      </c>
      <c r="AA381">
        <f t="shared" si="60"/>
        <v>0</v>
      </c>
      <c r="AB381">
        <f t="shared" si="60"/>
        <v>0</v>
      </c>
      <c r="AC381">
        <f t="shared" si="60"/>
        <v>0</v>
      </c>
      <c r="AD381">
        <f t="shared" si="60"/>
        <v>0</v>
      </c>
      <c r="AE381">
        <f t="shared" si="60"/>
        <v>0</v>
      </c>
      <c r="AF381">
        <f t="shared" si="60"/>
        <v>0</v>
      </c>
      <c r="AG381">
        <f t="shared" si="60"/>
        <v>0</v>
      </c>
      <c r="AH381">
        <f t="shared" si="60"/>
        <v>0</v>
      </c>
      <c r="AI381">
        <f t="shared" si="60"/>
        <v>0</v>
      </c>
      <c r="AJ381">
        <f t="shared" si="60"/>
        <v>0</v>
      </c>
      <c r="AK381">
        <f t="shared" ref="AK381:BL381" si="61">COUNT(AK14,AK15,AK16,AK17,AK18,AK21,AK22,AK23,AK24,AK27,AK28,AK29,AK33,AK34,AK35,AK36,AK39,AK40,AK43,AK44,AK45,AK46,AK47,AK48,AK49,AK50,AK53,AK54,AK55,AK56,AK57,AK58,AK61,AK62,AK63,AK64,AK65,AK66,AK67,AK68,AK69,AK70,AK71,AK74,AK75,AK76,AK77,AK78,AK79,AK80,AK81)</f>
        <v>0</v>
      </c>
      <c r="AL381">
        <f t="shared" si="61"/>
        <v>0</v>
      </c>
      <c r="AM381">
        <f t="shared" si="61"/>
        <v>0</v>
      </c>
      <c r="AN381">
        <f t="shared" si="61"/>
        <v>0</v>
      </c>
      <c r="AO381">
        <f t="shared" si="61"/>
        <v>0</v>
      </c>
      <c r="AP381">
        <f t="shared" si="61"/>
        <v>0</v>
      </c>
      <c r="AQ381">
        <f t="shared" si="61"/>
        <v>0</v>
      </c>
      <c r="AR381">
        <f t="shared" si="61"/>
        <v>0</v>
      </c>
      <c r="AS381">
        <f t="shared" si="61"/>
        <v>0</v>
      </c>
      <c r="AT381">
        <f t="shared" si="61"/>
        <v>0</v>
      </c>
      <c r="AU381">
        <f t="shared" si="61"/>
        <v>0</v>
      </c>
      <c r="AV381">
        <f t="shared" si="61"/>
        <v>0</v>
      </c>
      <c r="AW381">
        <f t="shared" si="61"/>
        <v>0</v>
      </c>
      <c r="AX381">
        <f t="shared" si="61"/>
        <v>0</v>
      </c>
      <c r="AY381">
        <f t="shared" si="61"/>
        <v>0</v>
      </c>
      <c r="AZ381">
        <f t="shared" si="61"/>
        <v>0</v>
      </c>
      <c r="BA381">
        <f t="shared" si="61"/>
        <v>0</v>
      </c>
      <c r="BB381">
        <f t="shared" si="61"/>
        <v>0</v>
      </c>
      <c r="BC381">
        <f t="shared" si="61"/>
        <v>0</v>
      </c>
      <c r="BD381">
        <f t="shared" si="61"/>
        <v>0</v>
      </c>
      <c r="BE381">
        <f t="shared" si="61"/>
        <v>0</v>
      </c>
      <c r="BF381">
        <f t="shared" si="61"/>
        <v>0</v>
      </c>
      <c r="BG381">
        <f t="shared" si="61"/>
        <v>0</v>
      </c>
      <c r="BH381">
        <f t="shared" si="61"/>
        <v>0</v>
      </c>
      <c r="BI381">
        <f t="shared" si="61"/>
        <v>0</v>
      </c>
      <c r="BJ381">
        <f t="shared" si="61"/>
        <v>0</v>
      </c>
      <c r="BK381">
        <f t="shared" si="61"/>
        <v>0</v>
      </c>
      <c r="BL381">
        <f t="shared" si="61"/>
        <v>0</v>
      </c>
    </row>
    <row r="382" spans="2:64" hidden="1" x14ac:dyDescent="0.35">
      <c r="B382" t="s">
        <v>138</v>
      </c>
      <c r="E382">
        <f t="shared" ref="E382:AJ382" si="62">SUM(IF(E14="",0,IF(ISNUMBER(E14),IF(E14&lt;0,1,0),1)),IF(E15="",0,IF(ISNUMBER(E15),IF(E15&lt;0,1,0),1)),IF(E16="",0,IF(ISNUMBER(E16),IF(E16&lt;0,1,0),1)),IF(E17="",0,IF(ISNUMBER(E17),IF(E17&lt;0,1,0),1)),IF(E18="",0,IF(ISNUMBER(E18),IF(E18&lt;0,1,0),1)),IF(E21="",0,IF(ISNUMBER(E21),IF(E21&lt;0,1,0),1)),IF(E22="",0,IF(ISNUMBER(E22),IF(E22&lt;0,1,0),1)),IF(E23="",0,IF(ISNUMBER(E23),IF(E23&lt;0,1,0),1)),IF(E24="",0,IF(ISNUMBER(E24),IF(E24&lt;0,1,0),1)),IF(E27="",0,IF(ISNUMBER(E27),IF(E27&lt;0,1,0),1)),IF(E28="",0,IF(ISNUMBER(E28),IF(E28&lt;0,1,0),1)),IF(E29="",0,IF(ISNUMBER(E29),IF(E29&lt;0,1,0),1)),IF(E33="",0,IF(ISNUMBER(E33),IF(E33&lt;0,1,0),1)),IF(E34="",0,IF(ISNUMBER(E34),IF(E34&lt;0,1,0),1)),IF(E35="",0,IF(ISNUMBER(E35),IF(E35&lt;0,1,0),1)),IF(E36="",0,IF(ISNUMBER(E36),IF(E36&lt;0,1,0),1)),IF(E39="",0,IF(ISNUMBER(E39),IF(E39&lt;0,1,0),1)),IF(E40="",0,IF(ISNUMBER(E40),IF(E40&lt;0,1,0),1)),IF(E43="",0,IF(ISNUMBER(E43),IF(E43&lt;0,1,0),1)),IF(E44="",0,IF(ISNUMBER(E44),IF(E44&lt;0,1,0),1)),IF(E45="",0,IF(ISNUMBER(E45),IF(E45&lt;0,1,0),1)),IF(E46="",0,IF(ISNUMBER(E46),IF(E46&lt;0,1,0),1)),IF(E47="",0,IF(ISNUMBER(E47),IF(E47&lt;0,1,0),1)),IF(E48="",0,IF(ISNUMBER(E48),IF(E48&lt;0,1,0),1)),IF(E49="",0,IF(ISNUMBER(E49),IF(E49&lt;0,1,0),1)),IF(E50="",0,IF(ISNUMBER(E50),IF(E50&lt;0,1,0),1)),IF(E53="",0,IF(ISNUMBER(E53),IF(E53&lt;0,1,0),1)),IF(E54="",0,IF(ISNUMBER(E54),IF(E54&lt;0,1,0),1)),IF(E55="",0,IF(ISNUMBER(E55),IF(E55&lt;0,1,0),1)),IF(E56="",0,IF(ISNUMBER(E56),IF(E56&lt;0,1,0),1)),IF(E57="",0,IF(ISNUMBER(E57),IF(E57&lt;0,1,0),1)),IF(E58="",0,IF(ISNUMBER(E58),IF(E58&lt;0,1,0),1)),IF(E61="",0,IF(ISNUMBER(E61),IF(E61&lt;0,1,0),1)),IF(E62="",0,IF(ISNUMBER(E62),IF(E62&lt;0,1,0),1)),IF(E63="",0,IF(ISNUMBER(E63),IF(E63&lt;0,1,0),1)),IF(E64="",0,IF(ISNUMBER(E64),IF(E64&lt;0,1,0),1)),IF(E65="",0,IF(ISNUMBER(E65),IF(E65&lt;0,1,0),1)),IF(E66="",0,IF(ISNUMBER(E66),IF(E66&lt;0,1,0),1)),IF(E67="",0,IF(ISNUMBER(E67),IF(E67&lt;0,1,0),1)),IF(E68="",0,IF(ISNUMBER(E68),IF(E68&lt;0,1,0),1)),IF(E69="",0,IF(ISNUMBER(E69),IF(E69&lt;0,1,0),1)),IF(E70="",0,IF(ISNUMBER(E70),IF(E70&lt;0,1,0),1)),IF(E71="",0,IF(ISNUMBER(E71),IF(E71&lt;0,1,0),1)),IF(E74="",0,IF(ISNUMBER(E74),IF(E74&lt;0,1,0),1)),IF(E75="",0,IF(ISNUMBER(E75),IF(E75&lt;0,1,0),1)),IF(E76="",0,IF(ISNUMBER(E76),IF(E76&lt;0,1,0),1)),IF(E77="",0,IF(ISNUMBER(E77),IF(E77&lt;0,1,0),1)),IF(E78="",0,IF(ISNUMBER(E78),IF(E78&lt;0,1,0),1)),IF(E79="",0,IF(ISNUMBER(E79),IF(E79&lt;0,1,0),1)),IF(E80="",0,IF(ISNUMBER(E80),IF(E80&lt;0,1,0),1)),IF(E81="",0,IF(ISNUMBER(E81),IF(E81&lt;0,1,0),1)))+E391+IF(OR($C$7="USD",$C$7="EGP"),0,1)+IF(ISNUMBER(E10),IF(AND(E10&gt;=1,E10&lt;=DATE(2100,12,31)),0,1),1)</f>
        <v>0</v>
      </c>
      <c r="F382">
        <f t="shared" si="62"/>
        <v>0</v>
      </c>
      <c r="G382">
        <f t="shared" si="62"/>
        <v>0</v>
      </c>
      <c r="H382">
        <f t="shared" si="62"/>
        <v>0</v>
      </c>
      <c r="I382">
        <f t="shared" si="62"/>
        <v>0</v>
      </c>
      <c r="J382">
        <f t="shared" si="62"/>
        <v>0</v>
      </c>
      <c r="K382">
        <f t="shared" si="62"/>
        <v>0</v>
      </c>
      <c r="L382">
        <f t="shared" si="62"/>
        <v>0</v>
      </c>
      <c r="M382">
        <f t="shared" si="62"/>
        <v>0</v>
      </c>
      <c r="N382">
        <f t="shared" si="62"/>
        <v>0</v>
      </c>
      <c r="O382">
        <f t="shared" si="62"/>
        <v>0</v>
      </c>
      <c r="P382">
        <f t="shared" si="62"/>
        <v>0</v>
      </c>
      <c r="Q382">
        <f t="shared" si="62"/>
        <v>0</v>
      </c>
      <c r="R382">
        <f t="shared" si="62"/>
        <v>0</v>
      </c>
      <c r="S382">
        <f t="shared" si="62"/>
        <v>0</v>
      </c>
      <c r="T382">
        <f t="shared" si="62"/>
        <v>0</v>
      </c>
      <c r="U382">
        <f t="shared" si="62"/>
        <v>0</v>
      </c>
      <c r="V382">
        <f t="shared" si="62"/>
        <v>0</v>
      </c>
      <c r="W382">
        <f t="shared" si="62"/>
        <v>0</v>
      </c>
      <c r="X382">
        <f t="shared" si="62"/>
        <v>0</v>
      </c>
      <c r="Y382">
        <f t="shared" si="62"/>
        <v>0</v>
      </c>
      <c r="Z382">
        <f t="shared" si="62"/>
        <v>0</v>
      </c>
      <c r="AA382">
        <f t="shared" si="62"/>
        <v>0</v>
      </c>
      <c r="AB382">
        <f t="shared" si="62"/>
        <v>0</v>
      </c>
      <c r="AC382">
        <f t="shared" si="62"/>
        <v>0</v>
      </c>
      <c r="AD382">
        <f t="shared" si="62"/>
        <v>0</v>
      </c>
      <c r="AE382">
        <f t="shared" si="62"/>
        <v>0</v>
      </c>
      <c r="AF382">
        <f t="shared" si="62"/>
        <v>0</v>
      </c>
      <c r="AG382">
        <f t="shared" si="62"/>
        <v>0</v>
      </c>
      <c r="AH382">
        <f t="shared" si="62"/>
        <v>0</v>
      </c>
      <c r="AI382">
        <f t="shared" si="62"/>
        <v>0</v>
      </c>
      <c r="AJ382">
        <f t="shared" si="62"/>
        <v>0</v>
      </c>
      <c r="AK382">
        <f t="shared" ref="AK382:BL382" si="63">SUM(IF(AK14="",0,IF(ISNUMBER(AK14),IF(AK14&lt;0,1,0),1)),IF(AK15="",0,IF(ISNUMBER(AK15),IF(AK15&lt;0,1,0),1)),IF(AK16="",0,IF(ISNUMBER(AK16),IF(AK16&lt;0,1,0),1)),IF(AK17="",0,IF(ISNUMBER(AK17),IF(AK17&lt;0,1,0),1)),IF(AK18="",0,IF(ISNUMBER(AK18),IF(AK18&lt;0,1,0),1)),IF(AK21="",0,IF(ISNUMBER(AK21),IF(AK21&lt;0,1,0),1)),IF(AK22="",0,IF(ISNUMBER(AK22),IF(AK22&lt;0,1,0),1)),IF(AK23="",0,IF(ISNUMBER(AK23),IF(AK23&lt;0,1,0),1)),IF(AK24="",0,IF(ISNUMBER(AK24),IF(AK24&lt;0,1,0),1)),IF(AK27="",0,IF(ISNUMBER(AK27),IF(AK27&lt;0,1,0),1)),IF(AK28="",0,IF(ISNUMBER(AK28),IF(AK28&lt;0,1,0),1)),IF(AK29="",0,IF(ISNUMBER(AK29),IF(AK29&lt;0,1,0),1)),IF(AK33="",0,IF(ISNUMBER(AK33),IF(AK33&lt;0,1,0),1)),IF(AK34="",0,IF(ISNUMBER(AK34),IF(AK34&lt;0,1,0),1)),IF(AK35="",0,IF(ISNUMBER(AK35),IF(AK35&lt;0,1,0),1)),IF(AK36="",0,IF(ISNUMBER(AK36),IF(AK36&lt;0,1,0),1)),IF(AK39="",0,IF(ISNUMBER(AK39),IF(AK39&lt;0,1,0),1)),IF(AK40="",0,IF(ISNUMBER(AK40),IF(AK40&lt;0,1,0),1)),IF(AK43="",0,IF(ISNUMBER(AK43),IF(AK43&lt;0,1,0),1)),IF(AK44="",0,IF(ISNUMBER(AK44),IF(AK44&lt;0,1,0),1)),IF(AK45="",0,IF(ISNUMBER(AK45),IF(AK45&lt;0,1,0),1)),IF(AK46="",0,IF(ISNUMBER(AK46),IF(AK46&lt;0,1,0),1)),IF(AK47="",0,IF(ISNUMBER(AK47),IF(AK47&lt;0,1,0),1)),IF(AK48="",0,IF(ISNUMBER(AK48),IF(AK48&lt;0,1,0),1)),IF(AK49="",0,IF(ISNUMBER(AK49),IF(AK49&lt;0,1,0),1)),IF(AK50="",0,IF(ISNUMBER(AK50),IF(AK50&lt;0,1,0),1)),IF(AK53="",0,IF(ISNUMBER(AK53),IF(AK53&lt;0,1,0),1)),IF(AK54="",0,IF(ISNUMBER(AK54),IF(AK54&lt;0,1,0),1)),IF(AK55="",0,IF(ISNUMBER(AK55),IF(AK55&lt;0,1,0),1)),IF(AK56="",0,IF(ISNUMBER(AK56),IF(AK56&lt;0,1,0),1)),IF(AK57="",0,IF(ISNUMBER(AK57),IF(AK57&lt;0,1,0),1)),IF(AK58="",0,IF(ISNUMBER(AK58),IF(AK58&lt;0,1,0),1)),IF(AK61="",0,IF(ISNUMBER(AK61),IF(AK61&lt;0,1,0),1)),IF(AK62="",0,IF(ISNUMBER(AK62),IF(AK62&lt;0,1,0),1)),IF(AK63="",0,IF(ISNUMBER(AK63),IF(AK63&lt;0,1,0),1)),IF(AK64="",0,IF(ISNUMBER(AK64),IF(AK64&lt;0,1,0),1)),IF(AK65="",0,IF(ISNUMBER(AK65),IF(AK65&lt;0,1,0),1)),IF(AK66="",0,IF(ISNUMBER(AK66),IF(AK66&lt;0,1,0),1)),IF(AK67="",0,IF(ISNUMBER(AK67),IF(AK67&lt;0,1,0),1)),IF(AK68="",0,IF(ISNUMBER(AK68),IF(AK68&lt;0,1,0),1)),IF(AK69="",0,IF(ISNUMBER(AK69),IF(AK69&lt;0,1,0),1)),IF(AK70="",0,IF(ISNUMBER(AK70),IF(AK70&lt;0,1,0),1)),IF(AK71="",0,IF(ISNUMBER(AK71),IF(AK71&lt;0,1,0),1)),IF(AK74="",0,IF(ISNUMBER(AK74),IF(AK74&lt;0,1,0),1)),IF(AK75="",0,IF(ISNUMBER(AK75),IF(AK75&lt;0,1,0),1)),IF(AK76="",0,IF(ISNUMBER(AK76),IF(AK76&lt;0,1,0),1)),IF(AK77="",0,IF(ISNUMBER(AK77),IF(AK77&lt;0,1,0),1)),IF(AK78="",0,IF(ISNUMBER(AK78),IF(AK78&lt;0,1,0),1)),IF(AK79="",0,IF(ISNUMBER(AK79),IF(AK79&lt;0,1,0),1)),IF(AK80="",0,IF(ISNUMBER(AK80),IF(AK80&lt;0,1,0),1)),IF(AK81="",0,IF(ISNUMBER(AK81),IF(AK81&lt;0,1,0),1)))+AK391+IF(OR($C$7="USD",$C$7="EGP"),0,1)+IF(ISNUMBER(AK10),IF(AND(AK10&gt;=1,AK10&lt;=DATE(2100,12,31)),0,1),1)</f>
        <v>0</v>
      </c>
      <c r="AL382">
        <f t="shared" si="63"/>
        <v>0</v>
      </c>
      <c r="AM382">
        <f t="shared" si="63"/>
        <v>0</v>
      </c>
      <c r="AN382">
        <f t="shared" si="63"/>
        <v>0</v>
      </c>
      <c r="AO382">
        <f t="shared" si="63"/>
        <v>0</v>
      </c>
      <c r="AP382">
        <f t="shared" si="63"/>
        <v>0</v>
      </c>
      <c r="AQ382">
        <f t="shared" si="63"/>
        <v>0</v>
      </c>
      <c r="AR382">
        <f t="shared" si="63"/>
        <v>0</v>
      </c>
      <c r="AS382">
        <f t="shared" si="63"/>
        <v>0</v>
      </c>
      <c r="AT382">
        <f t="shared" si="63"/>
        <v>0</v>
      </c>
      <c r="AU382">
        <f t="shared" si="63"/>
        <v>0</v>
      </c>
      <c r="AV382">
        <f t="shared" si="63"/>
        <v>0</v>
      </c>
      <c r="AW382">
        <f t="shared" si="63"/>
        <v>0</v>
      </c>
      <c r="AX382">
        <f t="shared" si="63"/>
        <v>0</v>
      </c>
      <c r="AY382">
        <f t="shared" si="63"/>
        <v>0</v>
      </c>
      <c r="AZ382">
        <f t="shared" si="63"/>
        <v>0</v>
      </c>
      <c r="BA382">
        <f t="shared" si="63"/>
        <v>0</v>
      </c>
      <c r="BB382">
        <f t="shared" si="63"/>
        <v>0</v>
      </c>
      <c r="BC382">
        <f t="shared" si="63"/>
        <v>0</v>
      </c>
      <c r="BD382">
        <f t="shared" si="63"/>
        <v>0</v>
      </c>
      <c r="BE382">
        <f t="shared" si="63"/>
        <v>0</v>
      </c>
      <c r="BF382">
        <f t="shared" si="63"/>
        <v>0</v>
      </c>
      <c r="BG382">
        <f t="shared" si="63"/>
        <v>0</v>
      </c>
      <c r="BH382">
        <f t="shared" si="63"/>
        <v>0</v>
      </c>
      <c r="BI382">
        <f t="shared" si="63"/>
        <v>0</v>
      </c>
      <c r="BJ382">
        <f t="shared" si="63"/>
        <v>0</v>
      </c>
      <c r="BK382">
        <f t="shared" si="63"/>
        <v>0</v>
      </c>
      <c r="BL382">
        <f t="shared" si="63"/>
        <v>0</v>
      </c>
    </row>
    <row r="383" spans="2:64" hidden="1" x14ac:dyDescent="0.35">
      <c r="B383" t="s">
        <v>139</v>
      </c>
      <c r="E383">
        <f t="shared" ref="E383:AJ383" si="64">COUNTIFS($BM$14:$BM$81,"&lt;&gt;",$BM$14:$BM$81,"&lt;&gt;Contingent",$C$14:$C$81,"&lt;&gt;"&amp;$C$7,E$14:E$81,"&gt;0")</f>
        <v>0</v>
      </c>
      <c r="F383">
        <f t="shared" si="64"/>
        <v>0</v>
      </c>
      <c r="G383">
        <f t="shared" si="64"/>
        <v>0</v>
      </c>
      <c r="H383">
        <f t="shared" si="64"/>
        <v>0</v>
      </c>
      <c r="I383">
        <f t="shared" si="64"/>
        <v>0</v>
      </c>
      <c r="J383">
        <f t="shared" si="64"/>
        <v>0</v>
      </c>
      <c r="K383">
        <f t="shared" si="64"/>
        <v>0</v>
      </c>
      <c r="L383">
        <f t="shared" si="64"/>
        <v>0</v>
      </c>
      <c r="M383">
        <f t="shared" si="64"/>
        <v>0</v>
      </c>
      <c r="N383">
        <f t="shared" si="64"/>
        <v>0</v>
      </c>
      <c r="O383">
        <f t="shared" si="64"/>
        <v>0</v>
      </c>
      <c r="P383">
        <f t="shared" si="64"/>
        <v>0</v>
      </c>
      <c r="Q383">
        <f t="shared" si="64"/>
        <v>0</v>
      </c>
      <c r="R383">
        <f t="shared" si="64"/>
        <v>0</v>
      </c>
      <c r="S383">
        <f t="shared" si="64"/>
        <v>0</v>
      </c>
      <c r="T383">
        <f t="shared" si="64"/>
        <v>0</v>
      </c>
      <c r="U383">
        <f t="shared" si="64"/>
        <v>0</v>
      </c>
      <c r="V383">
        <f t="shared" si="64"/>
        <v>0</v>
      </c>
      <c r="W383">
        <f t="shared" si="64"/>
        <v>0</v>
      </c>
      <c r="X383">
        <f t="shared" si="64"/>
        <v>0</v>
      </c>
      <c r="Y383">
        <f t="shared" si="64"/>
        <v>0</v>
      </c>
      <c r="Z383">
        <f t="shared" si="64"/>
        <v>0</v>
      </c>
      <c r="AA383">
        <f t="shared" si="64"/>
        <v>0</v>
      </c>
      <c r="AB383">
        <f t="shared" si="64"/>
        <v>0</v>
      </c>
      <c r="AC383">
        <f t="shared" si="64"/>
        <v>0</v>
      </c>
      <c r="AD383">
        <f t="shared" si="64"/>
        <v>0</v>
      </c>
      <c r="AE383">
        <f t="shared" si="64"/>
        <v>0</v>
      </c>
      <c r="AF383">
        <f t="shared" si="64"/>
        <v>0</v>
      </c>
      <c r="AG383">
        <f t="shared" si="64"/>
        <v>0</v>
      </c>
      <c r="AH383">
        <f t="shared" si="64"/>
        <v>0</v>
      </c>
      <c r="AI383">
        <f t="shared" si="64"/>
        <v>0</v>
      </c>
      <c r="AJ383">
        <f t="shared" si="64"/>
        <v>0</v>
      </c>
      <c r="AK383">
        <f t="shared" ref="AK383:BL383" si="65">COUNTIFS($BM$14:$BM$81,"&lt;&gt;",$BM$14:$BM$81,"&lt;&gt;Contingent",$C$14:$C$81,"&lt;&gt;"&amp;$C$7,AK$14:AK$81,"&gt;0")</f>
        <v>0</v>
      </c>
      <c r="AL383">
        <f t="shared" si="65"/>
        <v>0</v>
      </c>
      <c r="AM383">
        <f t="shared" si="65"/>
        <v>0</v>
      </c>
      <c r="AN383">
        <f t="shared" si="65"/>
        <v>0</v>
      </c>
      <c r="AO383">
        <f t="shared" si="65"/>
        <v>0</v>
      </c>
      <c r="AP383">
        <f t="shared" si="65"/>
        <v>0</v>
      </c>
      <c r="AQ383">
        <f t="shared" si="65"/>
        <v>0</v>
      </c>
      <c r="AR383">
        <f t="shared" si="65"/>
        <v>0</v>
      </c>
      <c r="AS383">
        <f t="shared" si="65"/>
        <v>0</v>
      </c>
      <c r="AT383">
        <f t="shared" si="65"/>
        <v>0</v>
      </c>
      <c r="AU383">
        <f t="shared" si="65"/>
        <v>0</v>
      </c>
      <c r="AV383">
        <f t="shared" si="65"/>
        <v>0</v>
      </c>
      <c r="AW383">
        <f t="shared" si="65"/>
        <v>0</v>
      </c>
      <c r="AX383">
        <f t="shared" si="65"/>
        <v>0</v>
      </c>
      <c r="AY383">
        <f t="shared" si="65"/>
        <v>0</v>
      </c>
      <c r="AZ383">
        <f t="shared" si="65"/>
        <v>0</v>
      </c>
      <c r="BA383">
        <f t="shared" si="65"/>
        <v>0</v>
      </c>
      <c r="BB383">
        <f t="shared" si="65"/>
        <v>0</v>
      </c>
      <c r="BC383">
        <f t="shared" si="65"/>
        <v>0</v>
      </c>
      <c r="BD383">
        <f t="shared" si="65"/>
        <v>0</v>
      </c>
      <c r="BE383">
        <f t="shared" si="65"/>
        <v>0</v>
      </c>
      <c r="BF383">
        <f t="shared" si="65"/>
        <v>0</v>
      </c>
      <c r="BG383">
        <f t="shared" si="65"/>
        <v>0</v>
      </c>
      <c r="BH383">
        <f t="shared" si="65"/>
        <v>0</v>
      </c>
      <c r="BI383">
        <f t="shared" si="65"/>
        <v>0</v>
      </c>
      <c r="BJ383">
        <f t="shared" si="65"/>
        <v>0</v>
      </c>
      <c r="BK383">
        <f t="shared" si="65"/>
        <v>0</v>
      </c>
      <c r="BL383">
        <f t="shared" si="65"/>
        <v>0</v>
      </c>
    </row>
    <row r="384" spans="2:64" hidden="1" x14ac:dyDescent="0.35">
      <c r="B384" t="s">
        <v>140</v>
      </c>
      <c r="E384">
        <f t="shared" ref="E384:AJ384" si="66">IF(OR(E383=0,AND(ISNUMBER(E$11),E$11&gt;0)),1,0)</f>
        <v>1</v>
      </c>
      <c r="F384">
        <f t="shared" si="66"/>
        <v>1</v>
      </c>
      <c r="G384">
        <f t="shared" si="66"/>
        <v>1</v>
      </c>
      <c r="H384">
        <f t="shared" si="66"/>
        <v>1</v>
      </c>
      <c r="I384">
        <f t="shared" si="66"/>
        <v>1</v>
      </c>
      <c r="J384">
        <f t="shared" si="66"/>
        <v>1</v>
      </c>
      <c r="K384">
        <f t="shared" si="66"/>
        <v>1</v>
      </c>
      <c r="L384">
        <f t="shared" si="66"/>
        <v>1</v>
      </c>
      <c r="M384">
        <f t="shared" si="66"/>
        <v>1</v>
      </c>
      <c r="N384">
        <f t="shared" si="66"/>
        <v>1</v>
      </c>
      <c r="O384">
        <f t="shared" si="66"/>
        <v>1</v>
      </c>
      <c r="P384">
        <f t="shared" si="66"/>
        <v>1</v>
      </c>
      <c r="Q384">
        <f t="shared" si="66"/>
        <v>1</v>
      </c>
      <c r="R384">
        <f t="shared" si="66"/>
        <v>1</v>
      </c>
      <c r="S384">
        <f t="shared" si="66"/>
        <v>1</v>
      </c>
      <c r="T384">
        <f t="shared" si="66"/>
        <v>1</v>
      </c>
      <c r="U384">
        <f t="shared" si="66"/>
        <v>1</v>
      </c>
      <c r="V384">
        <f t="shared" si="66"/>
        <v>1</v>
      </c>
      <c r="W384">
        <f t="shared" si="66"/>
        <v>1</v>
      </c>
      <c r="X384">
        <f t="shared" si="66"/>
        <v>1</v>
      </c>
      <c r="Y384">
        <f t="shared" si="66"/>
        <v>1</v>
      </c>
      <c r="Z384">
        <f t="shared" si="66"/>
        <v>1</v>
      </c>
      <c r="AA384">
        <f t="shared" si="66"/>
        <v>1</v>
      </c>
      <c r="AB384">
        <f t="shared" si="66"/>
        <v>1</v>
      </c>
      <c r="AC384">
        <f t="shared" si="66"/>
        <v>1</v>
      </c>
      <c r="AD384">
        <f t="shared" si="66"/>
        <v>1</v>
      </c>
      <c r="AE384">
        <f t="shared" si="66"/>
        <v>1</v>
      </c>
      <c r="AF384">
        <f t="shared" si="66"/>
        <v>1</v>
      </c>
      <c r="AG384">
        <f t="shared" si="66"/>
        <v>1</v>
      </c>
      <c r="AH384">
        <f t="shared" si="66"/>
        <v>1</v>
      </c>
      <c r="AI384">
        <f t="shared" si="66"/>
        <v>1</v>
      </c>
      <c r="AJ384">
        <f t="shared" si="66"/>
        <v>1</v>
      </c>
      <c r="AK384">
        <f t="shared" ref="AK384:BP384" si="67">IF(OR(AK383=0,AND(ISNUMBER(AK$11),AK$11&gt;0)),1,0)</f>
        <v>1</v>
      </c>
      <c r="AL384">
        <f t="shared" si="67"/>
        <v>1</v>
      </c>
      <c r="AM384">
        <f t="shared" si="67"/>
        <v>1</v>
      </c>
      <c r="AN384">
        <f t="shared" si="67"/>
        <v>1</v>
      </c>
      <c r="AO384">
        <f t="shared" si="67"/>
        <v>1</v>
      </c>
      <c r="AP384">
        <f t="shared" si="67"/>
        <v>1</v>
      </c>
      <c r="AQ384">
        <f t="shared" si="67"/>
        <v>1</v>
      </c>
      <c r="AR384">
        <f t="shared" si="67"/>
        <v>1</v>
      </c>
      <c r="AS384">
        <f t="shared" si="67"/>
        <v>1</v>
      </c>
      <c r="AT384">
        <f t="shared" si="67"/>
        <v>1</v>
      </c>
      <c r="AU384">
        <f t="shared" si="67"/>
        <v>1</v>
      </c>
      <c r="AV384">
        <f t="shared" si="67"/>
        <v>1</v>
      </c>
      <c r="AW384">
        <f t="shared" si="67"/>
        <v>1</v>
      </c>
      <c r="AX384">
        <f t="shared" si="67"/>
        <v>1</v>
      </c>
      <c r="AY384">
        <f t="shared" si="67"/>
        <v>1</v>
      </c>
      <c r="AZ384">
        <f t="shared" si="67"/>
        <v>1</v>
      </c>
      <c r="BA384">
        <f t="shared" si="67"/>
        <v>1</v>
      </c>
      <c r="BB384">
        <f t="shared" si="67"/>
        <v>1</v>
      </c>
      <c r="BC384">
        <f t="shared" si="67"/>
        <v>1</v>
      </c>
      <c r="BD384">
        <f t="shared" si="67"/>
        <v>1</v>
      </c>
      <c r="BE384">
        <f t="shared" si="67"/>
        <v>1</v>
      </c>
      <c r="BF384">
        <f t="shared" si="67"/>
        <v>1</v>
      </c>
      <c r="BG384">
        <f t="shared" si="67"/>
        <v>1</v>
      </c>
      <c r="BH384">
        <f t="shared" si="67"/>
        <v>1</v>
      </c>
      <c r="BI384">
        <f t="shared" si="67"/>
        <v>1</v>
      </c>
      <c r="BJ384">
        <f t="shared" si="67"/>
        <v>1</v>
      </c>
      <c r="BK384">
        <f t="shared" si="67"/>
        <v>1</v>
      </c>
      <c r="BL384">
        <f t="shared" si="67"/>
        <v>1</v>
      </c>
    </row>
    <row r="385" spans="2:64" hidden="1" x14ac:dyDescent="0.35">
      <c r="B385" t="s">
        <v>141</v>
      </c>
      <c r="E385">
        <f t="shared" ref="E385:AJ385" si="68">IF(E380=0,0,SUM(IF(E14="",IF(INDEX($E14:$BL14,1,MAX(1,E380))&lt;&gt;0,1,0),0),IF(E15="",IF(INDEX($E15:$BL15,1,MAX(1,E380))&lt;&gt;0,1,0),0),IF(E16="",IF(INDEX($E16:$BL16,1,MAX(1,E380))&lt;&gt;0,1,0),0),IF(E17="",IF(INDEX($E17:$BL17,1,MAX(1,E380))&lt;&gt;0,1,0),0),IF(E18="",IF(INDEX($E18:$BL18,1,MAX(1,E380))&lt;&gt;0,1,0),0),IF(E21="",IF(INDEX($E21:$BL21,1,MAX(1,E380))&lt;&gt;0,1,0),0),IF(E22="",IF(INDEX($E22:$BL22,1,MAX(1,E380))&lt;&gt;0,1,0),0),IF(E23="",IF(INDEX($E23:$BL23,1,MAX(1,E380))&lt;&gt;0,1,0),0),IF(E24="",IF(INDEX($E24:$BL24,1,MAX(1,E380))&lt;&gt;0,1,0),0),IF(E27="",IF(INDEX($E27:$BL27,1,MAX(1,E380))&lt;&gt;0,1,0),0),IF(E28="",IF(INDEX($E28:$BL28,1,MAX(1,E380))&lt;&gt;0,1,0),0),IF(E29="",IF(INDEX($E29:$BL29,1,MAX(1,E380))&lt;&gt;0,1,0),0),IF(E33="",IF(INDEX($E33:$BL33,1,MAX(1,E380))&lt;&gt;0,1,0),0),IF(E34="",IF(INDEX($E34:$BL34,1,MAX(1,E380))&lt;&gt;0,1,0),0),IF(E35="",IF(INDEX($E35:$BL35,1,MAX(1,E380))&lt;&gt;0,1,0),0),IF(E36="",IF(INDEX($E36:$BL36,1,MAX(1,E380))&lt;&gt;0,1,0),0),IF(E39="",IF(INDEX($E39:$BL39,1,MAX(1,E380))&lt;&gt;0,1,0),0),IF(E40="",IF(INDEX($E40:$BL40,1,MAX(1,E380))&lt;&gt;0,1,0),0),IF(E43="",IF(INDEX($E43:$BL43,1,MAX(1,E380))&lt;&gt;0,1,0),0),IF(E44="",IF(INDEX($E44:$BL44,1,MAX(1,E380))&lt;&gt;0,1,0),0),IF(E45="",IF(INDEX($E45:$BL45,1,MAX(1,E380))&lt;&gt;0,1,0),0),IF(E46="",IF(INDEX($E46:$BL46,1,MAX(1,E380))&lt;&gt;0,1,0),0),IF(E47="",IF(INDEX($E47:$BL47,1,MAX(1,E380))&lt;&gt;0,1,0),0),IF(E48="",IF(INDEX($E48:$BL48,1,MAX(1,E380))&lt;&gt;0,1,0),0),IF(E49="",IF(INDEX($E49:$BL49,1,MAX(1,E380))&lt;&gt;0,1,0),0),IF(E50="",IF(INDEX($E50:$BL50,1,MAX(1,E380))&lt;&gt;0,1,0),0),IF(E53="",IF(INDEX($E53:$BL53,1,MAX(1,E380))&lt;&gt;0,1,0),0),IF(E54="",IF(INDEX($E54:$BL54,1,MAX(1,E380))&lt;&gt;0,1,0),0),IF(E55="",IF(INDEX($E55:$BL55,1,MAX(1,E380))&lt;&gt;0,1,0),0),IF(E56="",IF(INDEX($E56:$BL56,1,MAX(1,E380))&lt;&gt;0,1,0),0),IF(E57="",IF(INDEX($E57:$BL57,1,MAX(1,E380))&lt;&gt;0,1,0),0),IF(E58="",IF(INDEX($E58:$BL58,1,MAX(1,E380))&lt;&gt;0,1,0),0),IF(E61="",IF(INDEX($E61:$BL61,1,MAX(1,E380))&lt;&gt;0,1,0),0),IF(E62="",IF(INDEX($E62:$BL62,1,MAX(1,E380))&lt;&gt;0,1,0),0),IF(E63="",IF(INDEX($E63:$BL63,1,MAX(1,E380))&lt;&gt;0,1,0),0),IF(E64="",IF(INDEX($E64:$BL64,1,MAX(1,E380))&lt;&gt;0,1,0),0),IF(E65="",IF(INDEX($E65:$BL65,1,MAX(1,E380))&lt;&gt;0,1,0),0),IF(E66="",IF(INDEX($E66:$BL66,1,MAX(1,E380))&lt;&gt;0,1,0),0),IF(E67="",IF(INDEX($E67:$BL67,1,MAX(1,E380))&lt;&gt;0,1,0),0),IF(E68="",IF(INDEX($E68:$BL68,1,MAX(1,E380))&lt;&gt;0,1,0),0),IF(E69="",IF(INDEX($E69:$BL69,1,MAX(1,E380))&lt;&gt;0,1,0),0),IF(E70="",IF(INDEX($E70:$BL70,1,MAX(1,E380))&lt;&gt;0,1,0),0),IF(E71="",IF(INDEX($E71:$BL71,1,MAX(1,E380))&lt;&gt;0,1,0),0),IF(E74="",IF(INDEX($E74:$BL74,1,MAX(1,E380))&lt;&gt;0,1,0),0),IF(E75="",IF(INDEX($E75:$BL75,1,MAX(1,E380))&lt;&gt;0,1,0),0),IF(E76="",IF(INDEX($E76:$BL76,1,MAX(1,E380))&lt;&gt;0,1,0),0),IF(E77="",IF(INDEX($E77:$BL77,1,MAX(1,E380))&lt;&gt;0,1,0),0),IF(E78="",IF(INDEX($E78:$BL78,1,MAX(1,E380))&lt;&gt;0,1,0),0),IF(E79="",IF(INDEX($E79:$BL79,1,MAX(1,E380))&lt;&gt;0,1,0),0),IF(E80="",IF(INDEX($E80:$BL80,1,MAX(1,E380))&lt;&gt;0,1,0),0),IF(E81="",IF(INDEX($E81:$BL81,1,MAX(1,E380))&lt;&gt;0,1,0),0)))</f>
        <v>0</v>
      </c>
      <c r="F385">
        <f t="shared" si="68"/>
        <v>0</v>
      </c>
      <c r="G385">
        <f t="shared" si="68"/>
        <v>0</v>
      </c>
      <c r="H385">
        <f t="shared" si="68"/>
        <v>0</v>
      </c>
      <c r="I385">
        <f t="shared" si="68"/>
        <v>0</v>
      </c>
      <c r="J385">
        <f t="shared" si="68"/>
        <v>0</v>
      </c>
      <c r="K385">
        <f t="shared" si="68"/>
        <v>0</v>
      </c>
      <c r="L385">
        <f t="shared" si="68"/>
        <v>0</v>
      </c>
      <c r="M385">
        <f t="shared" si="68"/>
        <v>0</v>
      </c>
      <c r="N385">
        <f t="shared" si="68"/>
        <v>0</v>
      </c>
      <c r="O385">
        <f t="shared" si="68"/>
        <v>0</v>
      </c>
      <c r="P385">
        <f t="shared" si="68"/>
        <v>0</v>
      </c>
      <c r="Q385">
        <f t="shared" si="68"/>
        <v>0</v>
      </c>
      <c r="R385">
        <f t="shared" si="68"/>
        <v>0</v>
      </c>
      <c r="S385">
        <f t="shared" si="68"/>
        <v>0</v>
      </c>
      <c r="T385">
        <f t="shared" si="68"/>
        <v>0</v>
      </c>
      <c r="U385">
        <f t="shared" si="68"/>
        <v>0</v>
      </c>
      <c r="V385">
        <f t="shared" si="68"/>
        <v>0</v>
      </c>
      <c r="W385">
        <f t="shared" si="68"/>
        <v>0</v>
      </c>
      <c r="X385">
        <f t="shared" si="68"/>
        <v>0</v>
      </c>
      <c r="Y385">
        <f t="shared" si="68"/>
        <v>0</v>
      </c>
      <c r="Z385">
        <f t="shared" si="68"/>
        <v>0</v>
      </c>
      <c r="AA385">
        <f t="shared" si="68"/>
        <v>0</v>
      </c>
      <c r="AB385">
        <f t="shared" si="68"/>
        <v>0</v>
      </c>
      <c r="AC385">
        <f t="shared" si="68"/>
        <v>0</v>
      </c>
      <c r="AD385">
        <f t="shared" si="68"/>
        <v>0</v>
      </c>
      <c r="AE385">
        <f t="shared" si="68"/>
        <v>0</v>
      </c>
      <c r="AF385">
        <f t="shared" si="68"/>
        <v>0</v>
      </c>
      <c r="AG385">
        <f t="shared" si="68"/>
        <v>0</v>
      </c>
      <c r="AH385">
        <f t="shared" si="68"/>
        <v>0</v>
      </c>
      <c r="AI385">
        <f t="shared" si="68"/>
        <v>0</v>
      </c>
      <c r="AJ385">
        <f t="shared" si="68"/>
        <v>0</v>
      </c>
      <c r="AK385">
        <f t="shared" ref="AK385:BL385" si="69">IF(AK380=0,0,SUM(IF(AK14="",IF(INDEX($E14:$BL14,1,MAX(1,AK380))&lt;&gt;0,1,0),0),IF(AK15="",IF(INDEX($E15:$BL15,1,MAX(1,AK380))&lt;&gt;0,1,0),0),IF(AK16="",IF(INDEX($E16:$BL16,1,MAX(1,AK380))&lt;&gt;0,1,0),0),IF(AK17="",IF(INDEX($E17:$BL17,1,MAX(1,AK380))&lt;&gt;0,1,0),0),IF(AK18="",IF(INDEX($E18:$BL18,1,MAX(1,AK380))&lt;&gt;0,1,0),0),IF(AK21="",IF(INDEX($E21:$BL21,1,MAX(1,AK380))&lt;&gt;0,1,0),0),IF(AK22="",IF(INDEX($E22:$BL22,1,MAX(1,AK380))&lt;&gt;0,1,0),0),IF(AK23="",IF(INDEX($E23:$BL23,1,MAX(1,AK380))&lt;&gt;0,1,0),0),IF(AK24="",IF(INDEX($E24:$BL24,1,MAX(1,AK380))&lt;&gt;0,1,0),0),IF(AK27="",IF(INDEX($E27:$BL27,1,MAX(1,AK380))&lt;&gt;0,1,0),0),IF(AK28="",IF(INDEX($E28:$BL28,1,MAX(1,AK380))&lt;&gt;0,1,0),0),IF(AK29="",IF(INDEX($E29:$BL29,1,MAX(1,AK380))&lt;&gt;0,1,0),0),IF(AK33="",IF(INDEX($E33:$BL33,1,MAX(1,AK380))&lt;&gt;0,1,0),0),IF(AK34="",IF(INDEX($E34:$BL34,1,MAX(1,AK380))&lt;&gt;0,1,0),0),IF(AK35="",IF(INDEX($E35:$BL35,1,MAX(1,AK380))&lt;&gt;0,1,0),0),IF(AK36="",IF(INDEX($E36:$BL36,1,MAX(1,AK380))&lt;&gt;0,1,0),0),IF(AK39="",IF(INDEX($E39:$BL39,1,MAX(1,AK380))&lt;&gt;0,1,0),0),IF(AK40="",IF(INDEX($E40:$BL40,1,MAX(1,AK380))&lt;&gt;0,1,0),0),IF(AK43="",IF(INDEX($E43:$BL43,1,MAX(1,AK380))&lt;&gt;0,1,0),0),IF(AK44="",IF(INDEX($E44:$BL44,1,MAX(1,AK380))&lt;&gt;0,1,0),0),IF(AK45="",IF(INDEX($E45:$BL45,1,MAX(1,AK380))&lt;&gt;0,1,0),0),IF(AK46="",IF(INDEX($E46:$BL46,1,MAX(1,AK380))&lt;&gt;0,1,0),0),IF(AK47="",IF(INDEX($E47:$BL47,1,MAX(1,AK380))&lt;&gt;0,1,0),0),IF(AK48="",IF(INDEX($E48:$BL48,1,MAX(1,AK380))&lt;&gt;0,1,0),0),IF(AK49="",IF(INDEX($E49:$BL49,1,MAX(1,AK380))&lt;&gt;0,1,0),0),IF(AK50="",IF(INDEX($E50:$BL50,1,MAX(1,AK380))&lt;&gt;0,1,0),0),IF(AK53="",IF(INDEX($E53:$BL53,1,MAX(1,AK380))&lt;&gt;0,1,0),0),IF(AK54="",IF(INDEX($E54:$BL54,1,MAX(1,AK380))&lt;&gt;0,1,0),0),IF(AK55="",IF(INDEX($E55:$BL55,1,MAX(1,AK380))&lt;&gt;0,1,0),0),IF(AK56="",IF(INDEX($E56:$BL56,1,MAX(1,AK380))&lt;&gt;0,1,0),0),IF(AK57="",IF(INDEX($E57:$BL57,1,MAX(1,AK380))&lt;&gt;0,1,0),0),IF(AK58="",IF(INDEX($E58:$BL58,1,MAX(1,AK380))&lt;&gt;0,1,0),0),IF(AK61="",IF(INDEX($E61:$BL61,1,MAX(1,AK380))&lt;&gt;0,1,0),0),IF(AK62="",IF(INDEX($E62:$BL62,1,MAX(1,AK380))&lt;&gt;0,1,0),0),IF(AK63="",IF(INDEX($E63:$BL63,1,MAX(1,AK380))&lt;&gt;0,1,0),0),IF(AK64="",IF(INDEX($E64:$BL64,1,MAX(1,AK380))&lt;&gt;0,1,0),0),IF(AK65="",IF(INDEX($E65:$BL65,1,MAX(1,AK380))&lt;&gt;0,1,0),0),IF(AK66="",IF(INDEX($E66:$BL66,1,MAX(1,AK380))&lt;&gt;0,1,0),0),IF(AK67="",IF(INDEX($E67:$BL67,1,MAX(1,AK380))&lt;&gt;0,1,0),0),IF(AK68="",IF(INDEX($E68:$BL68,1,MAX(1,AK380))&lt;&gt;0,1,0),0),IF(AK69="",IF(INDEX($E69:$BL69,1,MAX(1,AK380))&lt;&gt;0,1,0),0),IF(AK70="",IF(INDEX($E70:$BL70,1,MAX(1,AK380))&lt;&gt;0,1,0),0),IF(AK71="",IF(INDEX($E71:$BL71,1,MAX(1,AK380))&lt;&gt;0,1,0),0),IF(AK74="",IF(INDEX($E74:$BL74,1,MAX(1,AK380))&lt;&gt;0,1,0),0),IF(AK75="",IF(INDEX($E75:$BL75,1,MAX(1,AK380))&lt;&gt;0,1,0),0),IF(AK76="",IF(INDEX($E76:$BL76,1,MAX(1,AK380))&lt;&gt;0,1,0),0),IF(AK77="",IF(INDEX($E77:$BL77,1,MAX(1,AK380))&lt;&gt;0,1,0),0),IF(AK78="",IF(INDEX($E78:$BL78,1,MAX(1,AK380))&lt;&gt;0,1,0),0),IF(AK79="",IF(INDEX($E79:$BL79,1,MAX(1,AK380))&lt;&gt;0,1,0),0),IF(AK80="",IF(INDEX($E80:$BL80,1,MAX(1,AK380))&lt;&gt;0,1,0),0),IF(AK81="",IF(INDEX($E81:$BL81,1,MAX(1,AK380))&lt;&gt;0,1,0),0)))</f>
        <v>0</v>
      </c>
      <c r="AL385">
        <f t="shared" si="69"/>
        <v>0</v>
      </c>
      <c r="AM385">
        <f t="shared" si="69"/>
        <v>0</v>
      </c>
      <c r="AN385">
        <f t="shared" si="69"/>
        <v>0</v>
      </c>
      <c r="AO385">
        <f t="shared" si="69"/>
        <v>0</v>
      </c>
      <c r="AP385">
        <f t="shared" si="69"/>
        <v>0</v>
      </c>
      <c r="AQ385">
        <f t="shared" si="69"/>
        <v>0</v>
      </c>
      <c r="AR385">
        <f t="shared" si="69"/>
        <v>0</v>
      </c>
      <c r="AS385">
        <f t="shared" si="69"/>
        <v>0</v>
      </c>
      <c r="AT385">
        <f t="shared" si="69"/>
        <v>0</v>
      </c>
      <c r="AU385">
        <f t="shared" si="69"/>
        <v>0</v>
      </c>
      <c r="AV385">
        <f t="shared" si="69"/>
        <v>0</v>
      </c>
      <c r="AW385">
        <f t="shared" si="69"/>
        <v>0</v>
      </c>
      <c r="AX385">
        <f t="shared" si="69"/>
        <v>0</v>
      </c>
      <c r="AY385">
        <f t="shared" si="69"/>
        <v>0</v>
      </c>
      <c r="AZ385">
        <f t="shared" si="69"/>
        <v>0</v>
      </c>
      <c r="BA385">
        <f t="shared" si="69"/>
        <v>0</v>
      </c>
      <c r="BB385">
        <f t="shared" si="69"/>
        <v>0</v>
      </c>
      <c r="BC385">
        <f t="shared" si="69"/>
        <v>0</v>
      </c>
      <c r="BD385">
        <f t="shared" si="69"/>
        <v>0</v>
      </c>
      <c r="BE385">
        <f t="shared" si="69"/>
        <v>0</v>
      </c>
      <c r="BF385">
        <f t="shared" si="69"/>
        <v>0</v>
      </c>
      <c r="BG385">
        <f t="shared" si="69"/>
        <v>0</v>
      </c>
      <c r="BH385">
        <f t="shared" si="69"/>
        <v>0</v>
      </c>
      <c r="BI385">
        <f t="shared" si="69"/>
        <v>0</v>
      </c>
      <c r="BJ385">
        <f t="shared" si="69"/>
        <v>0</v>
      </c>
      <c r="BK385">
        <f t="shared" si="69"/>
        <v>0</v>
      </c>
      <c r="BL385">
        <f t="shared" si="69"/>
        <v>0</v>
      </c>
    </row>
    <row r="386" spans="2:64" hidden="1" x14ac:dyDescent="0.35">
      <c r="B386" t="s">
        <v>142</v>
      </c>
      <c r="E386">
        <f>SUM($E$323:E323)</f>
        <v>0</v>
      </c>
      <c r="F386">
        <f>SUM($E$323:F323)</f>
        <v>0</v>
      </c>
      <c r="G386">
        <f>SUM($E$323:G323)</f>
        <v>0</v>
      </c>
      <c r="H386">
        <f>SUM($E$323:H323)</f>
        <v>0</v>
      </c>
      <c r="I386">
        <f>SUM($E$323:I323)</f>
        <v>0</v>
      </c>
      <c r="J386">
        <f>SUM($E$323:J323)</f>
        <v>0</v>
      </c>
      <c r="K386">
        <f>SUM($E$323:K323)</f>
        <v>0</v>
      </c>
      <c r="L386">
        <f>SUM($E$323:L323)</f>
        <v>0</v>
      </c>
      <c r="M386">
        <f>SUM($E$323:M323)</f>
        <v>0</v>
      </c>
      <c r="N386">
        <f>SUM($E$323:N323)</f>
        <v>0</v>
      </c>
      <c r="O386">
        <f>SUM($E$323:O323)</f>
        <v>0</v>
      </c>
      <c r="P386">
        <f>SUM($E$323:P323)</f>
        <v>0</v>
      </c>
      <c r="Q386">
        <f>SUM($E$323:Q323)</f>
        <v>0</v>
      </c>
      <c r="R386">
        <f>SUM($E$323:R323)</f>
        <v>0</v>
      </c>
      <c r="S386">
        <f>SUM($E$323:S323)</f>
        <v>0</v>
      </c>
      <c r="T386">
        <f>SUM($E$323:T323)</f>
        <v>0</v>
      </c>
      <c r="U386">
        <f>SUM($E$323:U323)</f>
        <v>0</v>
      </c>
      <c r="V386">
        <f>SUM($E$323:V323)</f>
        <v>0</v>
      </c>
      <c r="W386">
        <f>SUM($E$323:W323)</f>
        <v>0</v>
      </c>
      <c r="X386">
        <f>SUM($E$323:X323)</f>
        <v>0</v>
      </c>
      <c r="Y386">
        <f>SUM($E$323:Y323)</f>
        <v>0</v>
      </c>
      <c r="Z386">
        <f>SUM($E$323:Z323)</f>
        <v>0</v>
      </c>
      <c r="AA386">
        <f>SUM($E$323:AA323)</f>
        <v>0</v>
      </c>
      <c r="AB386">
        <f>SUM($E$323:AB323)</f>
        <v>0</v>
      </c>
      <c r="AC386">
        <f>SUM($E$323:AC323)</f>
        <v>0</v>
      </c>
      <c r="AD386">
        <f>SUM($E$323:AD323)</f>
        <v>0</v>
      </c>
      <c r="AE386">
        <f>SUM($E$323:AE323)</f>
        <v>0</v>
      </c>
      <c r="AF386">
        <f>SUM($E$323:AF323)</f>
        <v>0</v>
      </c>
      <c r="AG386">
        <f>SUM($E$323:AG323)</f>
        <v>0</v>
      </c>
      <c r="AH386">
        <f>SUM($E$323:AH323)</f>
        <v>0</v>
      </c>
      <c r="AI386">
        <f>SUM($E$323:AI323)</f>
        <v>0</v>
      </c>
      <c r="AJ386">
        <f>SUM($E$323:AJ323)</f>
        <v>0</v>
      </c>
      <c r="AK386">
        <f>SUM($E$323:AK323)</f>
        <v>0</v>
      </c>
      <c r="AL386">
        <f>SUM($E$323:AL323)</f>
        <v>0</v>
      </c>
      <c r="AM386">
        <f>SUM($E$323:AM323)</f>
        <v>0</v>
      </c>
      <c r="AN386">
        <f>SUM($E$323:AN323)</f>
        <v>0</v>
      </c>
      <c r="AO386">
        <f>SUM($E$323:AO323)</f>
        <v>0</v>
      </c>
      <c r="AP386">
        <f>SUM($E$323:AP323)</f>
        <v>0</v>
      </c>
      <c r="AQ386">
        <f>SUM($E$323:AQ323)</f>
        <v>0</v>
      </c>
      <c r="AR386">
        <f>SUM($E$323:AR323)</f>
        <v>0</v>
      </c>
      <c r="AS386">
        <f>SUM($E$323:AS323)</f>
        <v>0</v>
      </c>
      <c r="AT386">
        <f>SUM($E$323:AT323)</f>
        <v>0</v>
      </c>
      <c r="AU386">
        <f>SUM($E$323:AU323)</f>
        <v>0</v>
      </c>
      <c r="AV386">
        <f>SUM($E$323:AV323)</f>
        <v>0</v>
      </c>
      <c r="AW386">
        <f>SUM($E$323:AW323)</f>
        <v>0</v>
      </c>
      <c r="AX386">
        <f>SUM($E$323:AX323)</f>
        <v>0</v>
      </c>
      <c r="AY386">
        <f>SUM($E$323:AY323)</f>
        <v>0</v>
      </c>
      <c r="AZ386">
        <f>SUM($E$323:AZ323)</f>
        <v>0</v>
      </c>
      <c r="BA386">
        <f>SUM($E$323:BA323)</f>
        <v>0</v>
      </c>
      <c r="BB386">
        <f>SUM($E$323:BB323)</f>
        <v>0</v>
      </c>
      <c r="BC386">
        <f>SUM($E$323:BC323)</f>
        <v>0</v>
      </c>
      <c r="BD386">
        <f>SUM($E$323:BD323)</f>
        <v>0</v>
      </c>
      <c r="BE386">
        <f>SUM($E$323:BE323)</f>
        <v>0</v>
      </c>
      <c r="BF386">
        <f>SUM($E$323:BF323)</f>
        <v>0</v>
      </c>
      <c r="BG386">
        <f>SUM($E$323:BG323)</f>
        <v>0</v>
      </c>
      <c r="BH386">
        <f>SUM($E$323:BH323)</f>
        <v>0</v>
      </c>
      <c r="BI386">
        <f>SUM($E$323:BI323)</f>
        <v>0</v>
      </c>
      <c r="BJ386">
        <f>SUM($E$323:BJ323)</f>
        <v>0</v>
      </c>
      <c r="BK386">
        <f>SUM($E$323:BK323)</f>
        <v>0</v>
      </c>
      <c r="BL386">
        <f>SUM($E$323:BL323)</f>
        <v>0</v>
      </c>
    </row>
    <row r="387" spans="2:64" hidden="1" x14ac:dyDescent="0.35">
      <c r="B387" t="s">
        <v>143</v>
      </c>
      <c r="E387">
        <f>IF(SUM(IF(E14="",0,1),IF(E15="",0,1),IF(E16="",0,1),IF(E17="",0,1),IF(E18="",0,1),IF(E21="",0,1),IF(E22="",0,1),IF(E23="",0,1),IF(E24="",0,1),IF(E27="",0,1),IF(E28="",0,1),IF(E29="",0,1),IF(E33="",0,1),IF(E34="",0,1),IF(E35="",0,1),IF(E36="",0,1),IF(E39="",0,1),IF(E40="",0,1),IF(E43="",0,1),IF(E44="",0,1),IF(E45="",0,1),IF(E46="",0,1),IF(E47="",0,1),IF(E48="",0,1),IF(E49="",0,1),IF(E50="",0,1),IF(E53="",0,1),IF(E54="",0,1),IF(E55="",0,1),IF(E56="",0,1),IF(E57="",0,1),IF(E58="",0,1),IF(E61="",0,1),IF(E62="",0,1),IF(E63="",0,1),IF(E64="",0,1),IF(E65="",0,1),IF(E66="",0,1),IF(E67="",0,1),IF(E68="",0,1),IF(E69="",0,1),IF(E70="",0,1),IF(E71="",0,1),IF(E74="",0,1),IF(E75="",0,1),IF(E76="",0,1),IF(E77="",0,1),IF(E78="",0,1),IF(E79="",0,1),IF(E80="",0,1),IF(E81="",0,1))&gt;0,1,0)</f>
        <v>0</v>
      </c>
      <c r="F387">
        <f>IF(SUM(IF(F14="",0,1),IF(F15="",0,1),IF(F16="",0,1),IF(F17="",0,1),IF(F18="",0,1),IF(F21="",0,1),IF(F22="",0,1),IF(F23="",0,1),IF(F24="",0,1),IF(F27="",0,1),IF(F28="",0,1),IF(F29="",0,1),IF(F33="",0,1),IF(F34="",0,1),IF(F35="",0,1),IF(F36="",0,1),IF(F39="",0,1),IF(F40="",0,1),IF(F43="",0,1),IF(F44="",0,1),IF(F45="",0,1),IF(F46="",0,1),IF(F47="",0,1),IF(F48="",0,1),IF(F49="",0,1),IF(F50="",0,1),IF(F53="",0,1),IF(F54="",0,1),IF(F55="",0,1),IF(F56="",0,1),IF(F57="",0,1),IF(F58="",0,1),IF(F61="",0,1),IF(F62="",0,1),IF(F63="",0,1),IF(F64="",0,1),IF(F65="",0,1),IF(F66="",0,1),IF(F67="",0,1),IF(F68="",0,1),IF(F69="",0,1),IF(F70="",0,1),IF(F71="",0,1),IF(F74="",0,1),IF(F75="",0,1),IF(F76="",0,1),IF(F77="",0,1),IF(F78="",0,1),IF(F79="",0,1),IF(F80="",0,1),IF(F81="",0,1))&gt;0,2,0)</f>
        <v>0</v>
      </c>
      <c r="G387">
        <f>IF(SUM(IF(G14="",0,1),IF(G15="",0,1),IF(G16="",0,1),IF(G17="",0,1),IF(G18="",0,1),IF(G21="",0,1),IF(G22="",0,1),IF(G23="",0,1),IF(G24="",0,1),IF(G27="",0,1),IF(G28="",0,1),IF(G29="",0,1),IF(G33="",0,1),IF(G34="",0,1),IF(G35="",0,1),IF(G36="",0,1),IF(G39="",0,1),IF(G40="",0,1),IF(G43="",0,1),IF(G44="",0,1),IF(G45="",0,1),IF(G46="",0,1),IF(G47="",0,1),IF(G48="",0,1),IF(G49="",0,1),IF(G50="",0,1),IF(G53="",0,1),IF(G54="",0,1),IF(G55="",0,1),IF(G56="",0,1),IF(G57="",0,1),IF(G58="",0,1),IF(G61="",0,1),IF(G62="",0,1),IF(G63="",0,1),IF(G64="",0,1),IF(G65="",0,1),IF(G66="",0,1),IF(G67="",0,1),IF(G68="",0,1),IF(G69="",0,1),IF(G70="",0,1),IF(G71="",0,1),IF(G74="",0,1),IF(G75="",0,1),IF(G76="",0,1),IF(G77="",0,1),IF(G78="",0,1),IF(G79="",0,1),IF(G80="",0,1),IF(G81="",0,1))&gt;0,3,0)</f>
        <v>0</v>
      </c>
      <c r="H387">
        <f>IF(SUM(IF(H14="",0,1),IF(H15="",0,1),IF(H16="",0,1),IF(H17="",0,1),IF(H18="",0,1),IF(H21="",0,1),IF(H22="",0,1),IF(H23="",0,1),IF(H24="",0,1),IF(H27="",0,1),IF(H28="",0,1),IF(H29="",0,1),IF(H33="",0,1),IF(H34="",0,1),IF(H35="",0,1),IF(H36="",0,1),IF(H39="",0,1),IF(H40="",0,1),IF(H43="",0,1),IF(H44="",0,1),IF(H45="",0,1),IF(H46="",0,1),IF(H47="",0,1),IF(H48="",0,1),IF(H49="",0,1),IF(H50="",0,1),IF(H53="",0,1),IF(H54="",0,1),IF(H55="",0,1),IF(H56="",0,1),IF(H57="",0,1),IF(H58="",0,1),IF(H61="",0,1),IF(H62="",0,1),IF(H63="",0,1),IF(H64="",0,1),IF(H65="",0,1),IF(H66="",0,1),IF(H67="",0,1),IF(H68="",0,1),IF(H69="",0,1),IF(H70="",0,1),IF(H71="",0,1),IF(H74="",0,1),IF(H75="",0,1),IF(H76="",0,1),IF(H77="",0,1),IF(H78="",0,1),IF(H79="",0,1),IF(H80="",0,1),IF(H81="",0,1))&gt;0,4,0)</f>
        <v>0</v>
      </c>
      <c r="I387">
        <f>IF(SUM(IF(I14="",0,1),IF(I15="",0,1),IF(I16="",0,1),IF(I17="",0,1),IF(I18="",0,1),IF(I21="",0,1),IF(I22="",0,1),IF(I23="",0,1),IF(I24="",0,1),IF(I27="",0,1),IF(I28="",0,1),IF(I29="",0,1),IF(I33="",0,1),IF(I34="",0,1),IF(I35="",0,1),IF(I36="",0,1),IF(I39="",0,1),IF(I40="",0,1),IF(I43="",0,1),IF(I44="",0,1),IF(I45="",0,1),IF(I46="",0,1),IF(I47="",0,1),IF(I48="",0,1),IF(I49="",0,1),IF(I50="",0,1),IF(I53="",0,1),IF(I54="",0,1),IF(I55="",0,1),IF(I56="",0,1),IF(I57="",0,1),IF(I58="",0,1),IF(I61="",0,1),IF(I62="",0,1),IF(I63="",0,1),IF(I64="",0,1),IF(I65="",0,1),IF(I66="",0,1),IF(I67="",0,1),IF(I68="",0,1),IF(I69="",0,1),IF(I70="",0,1),IF(I71="",0,1),IF(I74="",0,1),IF(I75="",0,1),IF(I76="",0,1),IF(I77="",0,1),IF(I78="",0,1),IF(I79="",0,1),IF(I80="",0,1),IF(I81="",0,1))&gt;0,5,0)</f>
        <v>0</v>
      </c>
      <c r="J387">
        <f>IF(SUM(IF(J14="",0,1),IF(J15="",0,1),IF(J16="",0,1),IF(J17="",0,1),IF(J18="",0,1),IF(J21="",0,1),IF(J22="",0,1),IF(J23="",0,1),IF(J24="",0,1),IF(J27="",0,1),IF(J28="",0,1),IF(J29="",0,1),IF(J33="",0,1),IF(J34="",0,1),IF(J35="",0,1),IF(J36="",0,1),IF(J39="",0,1),IF(J40="",0,1),IF(J43="",0,1),IF(J44="",0,1),IF(J45="",0,1),IF(J46="",0,1),IF(J47="",0,1),IF(J48="",0,1),IF(J49="",0,1),IF(J50="",0,1),IF(J53="",0,1),IF(J54="",0,1),IF(J55="",0,1),IF(J56="",0,1),IF(J57="",0,1),IF(J58="",0,1),IF(J61="",0,1),IF(J62="",0,1),IF(J63="",0,1),IF(J64="",0,1),IF(J65="",0,1),IF(J66="",0,1),IF(J67="",0,1),IF(J68="",0,1),IF(J69="",0,1),IF(J70="",0,1),IF(J71="",0,1),IF(J74="",0,1),IF(J75="",0,1),IF(J76="",0,1),IF(J77="",0,1),IF(J78="",0,1),IF(J79="",0,1),IF(J80="",0,1),IF(J81="",0,1))&gt;0,6,0)</f>
        <v>0</v>
      </c>
      <c r="K387">
        <f>IF(SUM(IF(K14="",0,1),IF(K15="",0,1),IF(K16="",0,1),IF(K17="",0,1),IF(K18="",0,1),IF(K21="",0,1),IF(K22="",0,1),IF(K23="",0,1),IF(K24="",0,1),IF(K27="",0,1),IF(K28="",0,1),IF(K29="",0,1),IF(K33="",0,1),IF(K34="",0,1),IF(K35="",0,1),IF(K36="",0,1),IF(K39="",0,1),IF(K40="",0,1),IF(K43="",0,1),IF(K44="",0,1),IF(K45="",0,1),IF(K46="",0,1),IF(K47="",0,1),IF(K48="",0,1),IF(K49="",0,1),IF(K50="",0,1),IF(K53="",0,1),IF(K54="",0,1),IF(K55="",0,1),IF(K56="",0,1),IF(K57="",0,1),IF(K58="",0,1),IF(K61="",0,1),IF(K62="",0,1),IF(K63="",0,1),IF(K64="",0,1),IF(K65="",0,1),IF(K66="",0,1),IF(K67="",0,1),IF(K68="",0,1),IF(K69="",0,1),IF(K70="",0,1),IF(K71="",0,1),IF(K74="",0,1),IF(K75="",0,1),IF(K76="",0,1),IF(K77="",0,1),IF(K78="",0,1),IF(K79="",0,1),IF(K80="",0,1),IF(K81="",0,1))&gt;0,7,0)</f>
        <v>0</v>
      </c>
      <c r="L387">
        <f>IF(SUM(IF(L14="",0,1),IF(L15="",0,1),IF(L16="",0,1),IF(L17="",0,1),IF(L18="",0,1),IF(L21="",0,1),IF(L22="",0,1),IF(L23="",0,1),IF(L24="",0,1),IF(L27="",0,1),IF(L28="",0,1),IF(L29="",0,1),IF(L33="",0,1),IF(L34="",0,1),IF(L35="",0,1),IF(L36="",0,1),IF(L39="",0,1),IF(L40="",0,1),IF(L43="",0,1),IF(L44="",0,1),IF(L45="",0,1),IF(L46="",0,1),IF(L47="",0,1),IF(L48="",0,1),IF(L49="",0,1),IF(L50="",0,1),IF(L53="",0,1),IF(L54="",0,1),IF(L55="",0,1),IF(L56="",0,1),IF(L57="",0,1),IF(L58="",0,1),IF(L61="",0,1),IF(L62="",0,1),IF(L63="",0,1),IF(L64="",0,1),IF(L65="",0,1),IF(L66="",0,1),IF(L67="",0,1),IF(L68="",0,1),IF(L69="",0,1),IF(L70="",0,1),IF(L71="",0,1),IF(L74="",0,1),IF(L75="",0,1),IF(L76="",0,1),IF(L77="",0,1),IF(L78="",0,1),IF(L79="",0,1),IF(L80="",0,1),IF(L81="",0,1))&gt;0,8,0)</f>
        <v>0</v>
      </c>
      <c r="M387">
        <f>IF(SUM(IF(M14="",0,1),IF(M15="",0,1),IF(M16="",0,1),IF(M17="",0,1),IF(M18="",0,1),IF(M21="",0,1),IF(M22="",0,1),IF(M23="",0,1),IF(M24="",0,1),IF(M27="",0,1),IF(M28="",0,1),IF(M29="",0,1),IF(M33="",0,1),IF(M34="",0,1),IF(M35="",0,1),IF(M36="",0,1),IF(M39="",0,1),IF(M40="",0,1),IF(M43="",0,1),IF(M44="",0,1),IF(M45="",0,1),IF(M46="",0,1),IF(M47="",0,1),IF(M48="",0,1),IF(M49="",0,1),IF(M50="",0,1),IF(M53="",0,1),IF(M54="",0,1),IF(M55="",0,1),IF(M56="",0,1),IF(M57="",0,1),IF(M58="",0,1),IF(M61="",0,1),IF(M62="",0,1),IF(M63="",0,1),IF(M64="",0,1),IF(M65="",0,1),IF(M66="",0,1),IF(M67="",0,1),IF(M68="",0,1),IF(M69="",0,1),IF(M70="",0,1),IF(M71="",0,1),IF(M74="",0,1),IF(M75="",0,1),IF(M76="",0,1),IF(M77="",0,1),IF(M78="",0,1),IF(M79="",0,1),IF(M80="",0,1),IF(M81="",0,1))&gt;0,9,0)</f>
        <v>0</v>
      </c>
      <c r="N387">
        <f>IF(SUM(IF(N14="",0,1),IF(N15="",0,1),IF(N16="",0,1),IF(N17="",0,1),IF(N18="",0,1),IF(N21="",0,1),IF(N22="",0,1),IF(N23="",0,1),IF(N24="",0,1),IF(N27="",0,1),IF(N28="",0,1),IF(N29="",0,1),IF(N33="",0,1),IF(N34="",0,1),IF(N35="",0,1),IF(N36="",0,1),IF(N39="",0,1),IF(N40="",0,1),IF(N43="",0,1),IF(N44="",0,1),IF(N45="",0,1),IF(N46="",0,1),IF(N47="",0,1),IF(N48="",0,1),IF(N49="",0,1),IF(N50="",0,1),IF(N53="",0,1),IF(N54="",0,1),IF(N55="",0,1),IF(N56="",0,1),IF(N57="",0,1),IF(N58="",0,1),IF(N61="",0,1),IF(N62="",0,1),IF(N63="",0,1),IF(N64="",0,1),IF(N65="",0,1),IF(N66="",0,1),IF(N67="",0,1),IF(N68="",0,1),IF(N69="",0,1),IF(N70="",0,1),IF(N71="",0,1),IF(N74="",0,1),IF(N75="",0,1),IF(N76="",0,1),IF(N77="",0,1),IF(N78="",0,1),IF(N79="",0,1),IF(N80="",0,1),IF(N81="",0,1))&gt;0,10,0)</f>
        <v>0</v>
      </c>
      <c r="O387">
        <f>IF(SUM(IF(O14="",0,1),IF(O15="",0,1),IF(O16="",0,1),IF(O17="",0,1),IF(O18="",0,1),IF(O21="",0,1),IF(O22="",0,1),IF(O23="",0,1),IF(O24="",0,1),IF(O27="",0,1),IF(O28="",0,1),IF(O29="",0,1),IF(O33="",0,1),IF(O34="",0,1),IF(O35="",0,1),IF(O36="",0,1),IF(O39="",0,1),IF(O40="",0,1),IF(O43="",0,1),IF(O44="",0,1),IF(O45="",0,1),IF(O46="",0,1),IF(O47="",0,1),IF(O48="",0,1),IF(O49="",0,1),IF(O50="",0,1),IF(O53="",0,1),IF(O54="",0,1),IF(O55="",0,1),IF(O56="",0,1),IF(O57="",0,1),IF(O58="",0,1),IF(O61="",0,1),IF(O62="",0,1),IF(O63="",0,1),IF(O64="",0,1),IF(O65="",0,1),IF(O66="",0,1),IF(O67="",0,1),IF(O68="",0,1),IF(O69="",0,1),IF(O70="",0,1),IF(O71="",0,1),IF(O74="",0,1),IF(O75="",0,1),IF(O76="",0,1),IF(O77="",0,1),IF(O78="",0,1),IF(O79="",0,1),IF(O80="",0,1),IF(O81="",0,1))&gt;0,11,0)</f>
        <v>0</v>
      </c>
      <c r="P387">
        <f>IF(SUM(IF(P14="",0,1),IF(P15="",0,1),IF(P16="",0,1),IF(P17="",0,1),IF(P18="",0,1),IF(P21="",0,1),IF(P22="",0,1),IF(P23="",0,1),IF(P24="",0,1),IF(P27="",0,1),IF(P28="",0,1),IF(P29="",0,1),IF(P33="",0,1),IF(P34="",0,1),IF(P35="",0,1),IF(P36="",0,1),IF(P39="",0,1),IF(P40="",0,1),IF(P43="",0,1),IF(P44="",0,1),IF(P45="",0,1),IF(P46="",0,1),IF(P47="",0,1),IF(P48="",0,1),IF(P49="",0,1),IF(P50="",0,1),IF(P53="",0,1),IF(P54="",0,1),IF(P55="",0,1),IF(P56="",0,1),IF(P57="",0,1),IF(P58="",0,1),IF(P61="",0,1),IF(P62="",0,1),IF(P63="",0,1),IF(P64="",0,1),IF(P65="",0,1),IF(P66="",0,1),IF(P67="",0,1),IF(P68="",0,1),IF(P69="",0,1),IF(P70="",0,1),IF(P71="",0,1),IF(P74="",0,1),IF(P75="",0,1),IF(P76="",0,1),IF(P77="",0,1),IF(P78="",0,1),IF(P79="",0,1),IF(P80="",0,1),IF(P81="",0,1))&gt;0,12,0)</f>
        <v>0</v>
      </c>
      <c r="Q387">
        <f>IF(SUM(IF(Q14="",0,1),IF(Q15="",0,1),IF(Q16="",0,1),IF(Q17="",0,1),IF(Q18="",0,1),IF(Q21="",0,1),IF(Q22="",0,1),IF(Q23="",0,1),IF(Q24="",0,1),IF(Q27="",0,1),IF(Q28="",0,1),IF(Q29="",0,1),IF(Q33="",0,1),IF(Q34="",0,1),IF(Q35="",0,1),IF(Q36="",0,1),IF(Q39="",0,1),IF(Q40="",0,1),IF(Q43="",0,1),IF(Q44="",0,1),IF(Q45="",0,1),IF(Q46="",0,1),IF(Q47="",0,1),IF(Q48="",0,1),IF(Q49="",0,1),IF(Q50="",0,1),IF(Q53="",0,1),IF(Q54="",0,1),IF(Q55="",0,1),IF(Q56="",0,1),IF(Q57="",0,1),IF(Q58="",0,1),IF(Q61="",0,1),IF(Q62="",0,1),IF(Q63="",0,1),IF(Q64="",0,1),IF(Q65="",0,1),IF(Q66="",0,1),IF(Q67="",0,1),IF(Q68="",0,1),IF(Q69="",0,1),IF(Q70="",0,1),IF(Q71="",0,1),IF(Q74="",0,1),IF(Q75="",0,1),IF(Q76="",0,1),IF(Q77="",0,1),IF(Q78="",0,1),IF(Q79="",0,1),IF(Q80="",0,1),IF(Q81="",0,1))&gt;0,13,0)</f>
        <v>0</v>
      </c>
      <c r="R387">
        <f>IF(SUM(IF(R14="",0,1),IF(R15="",0,1),IF(R16="",0,1),IF(R17="",0,1),IF(R18="",0,1),IF(R21="",0,1),IF(R22="",0,1),IF(R23="",0,1),IF(R24="",0,1),IF(R27="",0,1),IF(R28="",0,1),IF(R29="",0,1),IF(R33="",0,1),IF(R34="",0,1),IF(R35="",0,1),IF(R36="",0,1),IF(R39="",0,1),IF(R40="",0,1),IF(R43="",0,1),IF(R44="",0,1),IF(R45="",0,1),IF(R46="",0,1),IF(R47="",0,1),IF(R48="",0,1),IF(R49="",0,1),IF(R50="",0,1),IF(R53="",0,1),IF(R54="",0,1),IF(R55="",0,1),IF(R56="",0,1),IF(R57="",0,1),IF(R58="",0,1),IF(R61="",0,1),IF(R62="",0,1),IF(R63="",0,1),IF(R64="",0,1),IF(R65="",0,1),IF(R66="",0,1),IF(R67="",0,1),IF(R68="",0,1),IF(R69="",0,1),IF(R70="",0,1),IF(R71="",0,1),IF(R74="",0,1),IF(R75="",0,1),IF(R76="",0,1),IF(R77="",0,1),IF(R78="",0,1),IF(R79="",0,1),IF(R80="",0,1),IF(R81="",0,1))&gt;0,14,0)</f>
        <v>0</v>
      </c>
      <c r="S387">
        <f>IF(SUM(IF(S14="",0,1),IF(S15="",0,1),IF(S16="",0,1),IF(S17="",0,1),IF(S18="",0,1),IF(S21="",0,1),IF(S22="",0,1),IF(S23="",0,1),IF(S24="",0,1),IF(S27="",0,1),IF(S28="",0,1),IF(S29="",0,1),IF(S33="",0,1),IF(S34="",0,1),IF(S35="",0,1),IF(S36="",0,1),IF(S39="",0,1),IF(S40="",0,1),IF(S43="",0,1),IF(S44="",0,1),IF(S45="",0,1),IF(S46="",0,1),IF(S47="",0,1),IF(S48="",0,1),IF(S49="",0,1),IF(S50="",0,1),IF(S53="",0,1),IF(S54="",0,1),IF(S55="",0,1),IF(S56="",0,1),IF(S57="",0,1),IF(S58="",0,1),IF(S61="",0,1),IF(S62="",0,1),IF(S63="",0,1),IF(S64="",0,1),IF(S65="",0,1),IF(S66="",0,1),IF(S67="",0,1),IF(S68="",0,1),IF(S69="",0,1),IF(S70="",0,1),IF(S71="",0,1),IF(S74="",0,1),IF(S75="",0,1),IF(S76="",0,1),IF(S77="",0,1),IF(S78="",0,1),IF(S79="",0,1),IF(S80="",0,1),IF(S81="",0,1))&gt;0,15,0)</f>
        <v>0</v>
      </c>
      <c r="T387">
        <f>IF(SUM(IF(T14="",0,1),IF(T15="",0,1),IF(T16="",0,1),IF(T17="",0,1),IF(T18="",0,1),IF(T21="",0,1),IF(T22="",0,1),IF(T23="",0,1),IF(T24="",0,1),IF(T27="",0,1),IF(T28="",0,1),IF(T29="",0,1),IF(T33="",0,1),IF(T34="",0,1),IF(T35="",0,1),IF(T36="",0,1),IF(T39="",0,1),IF(T40="",0,1),IF(T43="",0,1),IF(T44="",0,1),IF(T45="",0,1),IF(T46="",0,1),IF(T47="",0,1),IF(T48="",0,1),IF(T49="",0,1),IF(T50="",0,1),IF(T53="",0,1),IF(T54="",0,1),IF(T55="",0,1),IF(T56="",0,1),IF(T57="",0,1),IF(T58="",0,1),IF(T61="",0,1),IF(T62="",0,1),IF(T63="",0,1),IF(T64="",0,1),IF(T65="",0,1),IF(T66="",0,1),IF(T67="",0,1),IF(T68="",0,1),IF(T69="",0,1),IF(T70="",0,1),IF(T71="",0,1),IF(T74="",0,1),IF(T75="",0,1),IF(T76="",0,1),IF(T77="",0,1),IF(T78="",0,1),IF(T79="",0,1),IF(T80="",0,1),IF(T81="",0,1))&gt;0,16,0)</f>
        <v>0</v>
      </c>
      <c r="U387">
        <f>IF(SUM(IF(U14="",0,1),IF(U15="",0,1),IF(U16="",0,1),IF(U17="",0,1),IF(U18="",0,1),IF(U21="",0,1),IF(U22="",0,1),IF(U23="",0,1),IF(U24="",0,1),IF(U27="",0,1),IF(U28="",0,1),IF(U29="",0,1),IF(U33="",0,1),IF(U34="",0,1),IF(U35="",0,1),IF(U36="",0,1),IF(U39="",0,1),IF(U40="",0,1),IF(U43="",0,1),IF(U44="",0,1),IF(U45="",0,1),IF(U46="",0,1),IF(U47="",0,1),IF(U48="",0,1),IF(U49="",0,1),IF(U50="",0,1),IF(U53="",0,1),IF(U54="",0,1),IF(U55="",0,1),IF(U56="",0,1),IF(U57="",0,1),IF(U58="",0,1),IF(U61="",0,1),IF(U62="",0,1),IF(U63="",0,1),IF(U64="",0,1),IF(U65="",0,1),IF(U66="",0,1),IF(U67="",0,1),IF(U68="",0,1),IF(U69="",0,1),IF(U70="",0,1),IF(U71="",0,1),IF(U74="",0,1),IF(U75="",0,1),IF(U76="",0,1),IF(U77="",0,1),IF(U78="",0,1),IF(U79="",0,1),IF(U80="",0,1),IF(U81="",0,1))&gt;0,17,0)</f>
        <v>0</v>
      </c>
      <c r="V387">
        <f>IF(SUM(IF(V14="",0,1),IF(V15="",0,1),IF(V16="",0,1),IF(V17="",0,1),IF(V18="",0,1),IF(V21="",0,1),IF(V22="",0,1),IF(V23="",0,1),IF(V24="",0,1),IF(V27="",0,1),IF(V28="",0,1),IF(V29="",0,1),IF(V33="",0,1),IF(V34="",0,1),IF(V35="",0,1),IF(V36="",0,1),IF(V39="",0,1),IF(V40="",0,1),IF(V43="",0,1),IF(V44="",0,1),IF(V45="",0,1),IF(V46="",0,1),IF(V47="",0,1),IF(V48="",0,1),IF(V49="",0,1),IF(V50="",0,1),IF(V53="",0,1),IF(V54="",0,1),IF(V55="",0,1),IF(V56="",0,1),IF(V57="",0,1),IF(V58="",0,1),IF(V61="",0,1),IF(V62="",0,1),IF(V63="",0,1),IF(V64="",0,1),IF(V65="",0,1),IF(V66="",0,1),IF(V67="",0,1),IF(V68="",0,1),IF(V69="",0,1),IF(V70="",0,1),IF(V71="",0,1),IF(V74="",0,1),IF(V75="",0,1),IF(V76="",0,1),IF(V77="",0,1),IF(V78="",0,1),IF(V79="",0,1),IF(V80="",0,1),IF(V81="",0,1))&gt;0,18,0)</f>
        <v>0</v>
      </c>
      <c r="W387">
        <f>IF(SUM(IF(W14="",0,1),IF(W15="",0,1),IF(W16="",0,1),IF(W17="",0,1),IF(W18="",0,1),IF(W21="",0,1),IF(W22="",0,1),IF(W23="",0,1),IF(W24="",0,1),IF(W27="",0,1),IF(W28="",0,1),IF(W29="",0,1),IF(W33="",0,1),IF(W34="",0,1),IF(W35="",0,1),IF(W36="",0,1),IF(W39="",0,1),IF(W40="",0,1),IF(W43="",0,1),IF(W44="",0,1),IF(W45="",0,1),IF(W46="",0,1),IF(W47="",0,1),IF(W48="",0,1),IF(W49="",0,1),IF(W50="",0,1),IF(W53="",0,1),IF(W54="",0,1),IF(W55="",0,1),IF(W56="",0,1),IF(W57="",0,1),IF(W58="",0,1),IF(W61="",0,1),IF(W62="",0,1),IF(W63="",0,1),IF(W64="",0,1),IF(W65="",0,1),IF(W66="",0,1),IF(W67="",0,1),IF(W68="",0,1),IF(W69="",0,1),IF(W70="",0,1),IF(W71="",0,1),IF(W74="",0,1),IF(W75="",0,1),IF(W76="",0,1),IF(W77="",0,1),IF(W78="",0,1),IF(W79="",0,1),IF(W80="",0,1),IF(W81="",0,1))&gt;0,19,0)</f>
        <v>0</v>
      </c>
      <c r="X387">
        <f>IF(SUM(IF(X14="",0,1),IF(X15="",0,1),IF(X16="",0,1),IF(X17="",0,1),IF(X18="",0,1),IF(X21="",0,1),IF(X22="",0,1),IF(X23="",0,1),IF(X24="",0,1),IF(X27="",0,1),IF(X28="",0,1),IF(X29="",0,1),IF(X33="",0,1),IF(X34="",0,1),IF(X35="",0,1),IF(X36="",0,1),IF(X39="",0,1),IF(X40="",0,1),IF(X43="",0,1),IF(X44="",0,1),IF(X45="",0,1),IF(X46="",0,1),IF(X47="",0,1),IF(X48="",0,1),IF(X49="",0,1),IF(X50="",0,1),IF(X53="",0,1),IF(X54="",0,1),IF(X55="",0,1),IF(X56="",0,1),IF(X57="",0,1),IF(X58="",0,1),IF(X61="",0,1),IF(X62="",0,1),IF(X63="",0,1),IF(X64="",0,1),IF(X65="",0,1),IF(X66="",0,1),IF(X67="",0,1),IF(X68="",0,1),IF(X69="",0,1),IF(X70="",0,1),IF(X71="",0,1),IF(X74="",0,1),IF(X75="",0,1),IF(X76="",0,1),IF(X77="",0,1),IF(X78="",0,1),IF(X79="",0,1),IF(X80="",0,1),IF(X81="",0,1))&gt;0,20,0)</f>
        <v>0</v>
      </c>
      <c r="Y387">
        <f>IF(SUM(IF(Y14="",0,1),IF(Y15="",0,1),IF(Y16="",0,1),IF(Y17="",0,1),IF(Y18="",0,1),IF(Y21="",0,1),IF(Y22="",0,1),IF(Y23="",0,1),IF(Y24="",0,1),IF(Y27="",0,1),IF(Y28="",0,1),IF(Y29="",0,1),IF(Y33="",0,1),IF(Y34="",0,1),IF(Y35="",0,1),IF(Y36="",0,1),IF(Y39="",0,1),IF(Y40="",0,1),IF(Y43="",0,1),IF(Y44="",0,1),IF(Y45="",0,1),IF(Y46="",0,1),IF(Y47="",0,1),IF(Y48="",0,1),IF(Y49="",0,1),IF(Y50="",0,1),IF(Y53="",0,1),IF(Y54="",0,1),IF(Y55="",0,1),IF(Y56="",0,1),IF(Y57="",0,1),IF(Y58="",0,1),IF(Y61="",0,1),IF(Y62="",0,1),IF(Y63="",0,1),IF(Y64="",0,1),IF(Y65="",0,1),IF(Y66="",0,1),IF(Y67="",0,1),IF(Y68="",0,1),IF(Y69="",0,1),IF(Y70="",0,1),IF(Y71="",0,1),IF(Y74="",0,1),IF(Y75="",0,1),IF(Y76="",0,1),IF(Y77="",0,1),IF(Y78="",0,1),IF(Y79="",0,1),IF(Y80="",0,1),IF(Y81="",0,1))&gt;0,21,0)</f>
        <v>0</v>
      </c>
      <c r="Z387">
        <f>IF(SUM(IF(Z14="",0,1),IF(Z15="",0,1),IF(Z16="",0,1),IF(Z17="",0,1),IF(Z18="",0,1),IF(Z21="",0,1),IF(Z22="",0,1),IF(Z23="",0,1),IF(Z24="",0,1),IF(Z27="",0,1),IF(Z28="",0,1),IF(Z29="",0,1),IF(Z33="",0,1),IF(Z34="",0,1),IF(Z35="",0,1),IF(Z36="",0,1),IF(Z39="",0,1),IF(Z40="",0,1),IF(Z43="",0,1),IF(Z44="",0,1),IF(Z45="",0,1),IF(Z46="",0,1),IF(Z47="",0,1),IF(Z48="",0,1),IF(Z49="",0,1),IF(Z50="",0,1),IF(Z53="",0,1),IF(Z54="",0,1),IF(Z55="",0,1),IF(Z56="",0,1),IF(Z57="",0,1),IF(Z58="",0,1),IF(Z61="",0,1),IF(Z62="",0,1),IF(Z63="",0,1),IF(Z64="",0,1),IF(Z65="",0,1),IF(Z66="",0,1),IF(Z67="",0,1),IF(Z68="",0,1),IF(Z69="",0,1),IF(Z70="",0,1),IF(Z71="",0,1),IF(Z74="",0,1),IF(Z75="",0,1),IF(Z76="",0,1),IF(Z77="",0,1),IF(Z78="",0,1),IF(Z79="",0,1),IF(Z80="",0,1),IF(Z81="",0,1))&gt;0,22,0)</f>
        <v>0</v>
      </c>
      <c r="AA387">
        <f>IF(SUM(IF(AA14="",0,1),IF(AA15="",0,1),IF(AA16="",0,1),IF(AA17="",0,1),IF(AA18="",0,1),IF(AA21="",0,1),IF(AA22="",0,1),IF(AA23="",0,1),IF(AA24="",0,1),IF(AA27="",0,1),IF(AA28="",0,1),IF(AA29="",0,1),IF(AA33="",0,1),IF(AA34="",0,1),IF(AA35="",0,1),IF(AA36="",0,1),IF(AA39="",0,1),IF(AA40="",0,1),IF(AA43="",0,1),IF(AA44="",0,1),IF(AA45="",0,1),IF(AA46="",0,1),IF(AA47="",0,1),IF(AA48="",0,1),IF(AA49="",0,1),IF(AA50="",0,1),IF(AA53="",0,1),IF(AA54="",0,1),IF(AA55="",0,1),IF(AA56="",0,1),IF(AA57="",0,1),IF(AA58="",0,1),IF(AA61="",0,1),IF(AA62="",0,1),IF(AA63="",0,1),IF(AA64="",0,1),IF(AA65="",0,1),IF(AA66="",0,1),IF(AA67="",0,1),IF(AA68="",0,1),IF(AA69="",0,1),IF(AA70="",0,1),IF(AA71="",0,1),IF(AA74="",0,1),IF(AA75="",0,1),IF(AA76="",0,1),IF(AA77="",0,1),IF(AA78="",0,1),IF(AA79="",0,1),IF(AA80="",0,1),IF(AA81="",0,1))&gt;0,23,0)</f>
        <v>0</v>
      </c>
      <c r="AB387">
        <f>IF(SUM(IF(AB14="",0,1),IF(AB15="",0,1),IF(AB16="",0,1),IF(AB17="",0,1),IF(AB18="",0,1),IF(AB21="",0,1),IF(AB22="",0,1),IF(AB23="",0,1),IF(AB24="",0,1),IF(AB27="",0,1),IF(AB28="",0,1),IF(AB29="",0,1),IF(AB33="",0,1),IF(AB34="",0,1),IF(AB35="",0,1),IF(AB36="",0,1),IF(AB39="",0,1),IF(AB40="",0,1),IF(AB43="",0,1),IF(AB44="",0,1),IF(AB45="",0,1),IF(AB46="",0,1),IF(AB47="",0,1),IF(AB48="",0,1),IF(AB49="",0,1),IF(AB50="",0,1),IF(AB53="",0,1),IF(AB54="",0,1),IF(AB55="",0,1),IF(AB56="",0,1),IF(AB57="",0,1),IF(AB58="",0,1),IF(AB61="",0,1),IF(AB62="",0,1),IF(AB63="",0,1),IF(AB64="",0,1),IF(AB65="",0,1),IF(AB66="",0,1),IF(AB67="",0,1),IF(AB68="",0,1),IF(AB69="",0,1),IF(AB70="",0,1),IF(AB71="",0,1),IF(AB74="",0,1),IF(AB75="",0,1),IF(AB76="",0,1),IF(AB77="",0,1),IF(AB78="",0,1),IF(AB79="",0,1),IF(AB80="",0,1),IF(AB81="",0,1))&gt;0,24,0)</f>
        <v>0</v>
      </c>
      <c r="AC387">
        <f>IF(SUM(IF(AC14="",0,1),IF(AC15="",0,1),IF(AC16="",0,1),IF(AC17="",0,1),IF(AC18="",0,1),IF(AC21="",0,1),IF(AC22="",0,1),IF(AC23="",0,1),IF(AC24="",0,1),IF(AC27="",0,1),IF(AC28="",0,1),IF(AC29="",0,1),IF(AC33="",0,1),IF(AC34="",0,1),IF(AC35="",0,1),IF(AC36="",0,1),IF(AC39="",0,1),IF(AC40="",0,1),IF(AC43="",0,1),IF(AC44="",0,1),IF(AC45="",0,1),IF(AC46="",0,1),IF(AC47="",0,1),IF(AC48="",0,1),IF(AC49="",0,1),IF(AC50="",0,1),IF(AC53="",0,1),IF(AC54="",0,1),IF(AC55="",0,1),IF(AC56="",0,1),IF(AC57="",0,1),IF(AC58="",0,1),IF(AC61="",0,1),IF(AC62="",0,1),IF(AC63="",0,1),IF(AC64="",0,1),IF(AC65="",0,1),IF(AC66="",0,1),IF(AC67="",0,1),IF(AC68="",0,1),IF(AC69="",0,1),IF(AC70="",0,1),IF(AC71="",0,1),IF(AC74="",0,1),IF(AC75="",0,1),IF(AC76="",0,1),IF(AC77="",0,1),IF(AC78="",0,1),IF(AC79="",0,1),IF(AC80="",0,1),IF(AC81="",0,1))&gt;0,25,0)</f>
        <v>0</v>
      </c>
      <c r="AD387">
        <f>IF(SUM(IF(AD14="",0,1),IF(AD15="",0,1),IF(AD16="",0,1),IF(AD17="",0,1),IF(AD18="",0,1),IF(AD21="",0,1),IF(AD22="",0,1),IF(AD23="",0,1),IF(AD24="",0,1),IF(AD27="",0,1),IF(AD28="",0,1),IF(AD29="",0,1),IF(AD33="",0,1),IF(AD34="",0,1),IF(AD35="",0,1),IF(AD36="",0,1),IF(AD39="",0,1),IF(AD40="",0,1),IF(AD43="",0,1),IF(AD44="",0,1),IF(AD45="",0,1),IF(AD46="",0,1),IF(AD47="",0,1),IF(AD48="",0,1),IF(AD49="",0,1),IF(AD50="",0,1),IF(AD53="",0,1),IF(AD54="",0,1),IF(AD55="",0,1),IF(AD56="",0,1),IF(AD57="",0,1),IF(AD58="",0,1),IF(AD61="",0,1),IF(AD62="",0,1),IF(AD63="",0,1),IF(AD64="",0,1),IF(AD65="",0,1),IF(AD66="",0,1),IF(AD67="",0,1),IF(AD68="",0,1),IF(AD69="",0,1),IF(AD70="",0,1),IF(AD71="",0,1),IF(AD74="",0,1),IF(AD75="",0,1),IF(AD76="",0,1),IF(AD77="",0,1),IF(AD78="",0,1),IF(AD79="",0,1),IF(AD80="",0,1),IF(AD81="",0,1))&gt;0,26,0)</f>
        <v>0</v>
      </c>
      <c r="AE387">
        <f>IF(SUM(IF(AE14="",0,1),IF(AE15="",0,1),IF(AE16="",0,1),IF(AE17="",0,1),IF(AE18="",0,1),IF(AE21="",0,1),IF(AE22="",0,1),IF(AE23="",0,1),IF(AE24="",0,1),IF(AE27="",0,1),IF(AE28="",0,1),IF(AE29="",0,1),IF(AE33="",0,1),IF(AE34="",0,1),IF(AE35="",0,1),IF(AE36="",0,1),IF(AE39="",0,1),IF(AE40="",0,1),IF(AE43="",0,1),IF(AE44="",0,1),IF(AE45="",0,1),IF(AE46="",0,1),IF(AE47="",0,1),IF(AE48="",0,1),IF(AE49="",0,1),IF(AE50="",0,1),IF(AE53="",0,1),IF(AE54="",0,1),IF(AE55="",0,1),IF(AE56="",0,1),IF(AE57="",0,1),IF(AE58="",0,1),IF(AE61="",0,1),IF(AE62="",0,1),IF(AE63="",0,1),IF(AE64="",0,1),IF(AE65="",0,1),IF(AE66="",0,1),IF(AE67="",0,1),IF(AE68="",0,1),IF(AE69="",0,1),IF(AE70="",0,1),IF(AE71="",0,1),IF(AE74="",0,1),IF(AE75="",0,1),IF(AE76="",0,1),IF(AE77="",0,1),IF(AE78="",0,1),IF(AE79="",0,1),IF(AE80="",0,1),IF(AE81="",0,1))&gt;0,27,0)</f>
        <v>0</v>
      </c>
      <c r="AF387">
        <f>IF(SUM(IF(AF14="",0,1),IF(AF15="",0,1),IF(AF16="",0,1),IF(AF17="",0,1),IF(AF18="",0,1),IF(AF21="",0,1),IF(AF22="",0,1),IF(AF23="",0,1),IF(AF24="",0,1),IF(AF27="",0,1),IF(AF28="",0,1),IF(AF29="",0,1),IF(AF33="",0,1),IF(AF34="",0,1),IF(AF35="",0,1),IF(AF36="",0,1),IF(AF39="",0,1),IF(AF40="",0,1),IF(AF43="",0,1),IF(AF44="",0,1),IF(AF45="",0,1),IF(AF46="",0,1),IF(AF47="",0,1),IF(AF48="",0,1),IF(AF49="",0,1),IF(AF50="",0,1),IF(AF53="",0,1),IF(AF54="",0,1),IF(AF55="",0,1),IF(AF56="",0,1),IF(AF57="",0,1),IF(AF58="",0,1),IF(AF61="",0,1),IF(AF62="",0,1),IF(AF63="",0,1),IF(AF64="",0,1),IF(AF65="",0,1),IF(AF66="",0,1),IF(AF67="",0,1),IF(AF68="",0,1),IF(AF69="",0,1),IF(AF70="",0,1),IF(AF71="",0,1),IF(AF74="",0,1),IF(AF75="",0,1),IF(AF76="",0,1),IF(AF77="",0,1),IF(AF78="",0,1),IF(AF79="",0,1),IF(AF80="",0,1),IF(AF81="",0,1))&gt;0,28,0)</f>
        <v>0</v>
      </c>
      <c r="AG387">
        <f>IF(SUM(IF(AG14="",0,1),IF(AG15="",0,1),IF(AG16="",0,1),IF(AG17="",0,1),IF(AG18="",0,1),IF(AG21="",0,1),IF(AG22="",0,1),IF(AG23="",0,1),IF(AG24="",0,1),IF(AG27="",0,1),IF(AG28="",0,1),IF(AG29="",0,1),IF(AG33="",0,1),IF(AG34="",0,1),IF(AG35="",0,1),IF(AG36="",0,1),IF(AG39="",0,1),IF(AG40="",0,1),IF(AG43="",0,1),IF(AG44="",0,1),IF(AG45="",0,1),IF(AG46="",0,1),IF(AG47="",0,1),IF(AG48="",0,1),IF(AG49="",0,1),IF(AG50="",0,1),IF(AG53="",0,1),IF(AG54="",0,1),IF(AG55="",0,1),IF(AG56="",0,1),IF(AG57="",0,1),IF(AG58="",0,1),IF(AG61="",0,1),IF(AG62="",0,1),IF(AG63="",0,1),IF(AG64="",0,1),IF(AG65="",0,1),IF(AG66="",0,1),IF(AG67="",0,1),IF(AG68="",0,1),IF(AG69="",0,1),IF(AG70="",0,1),IF(AG71="",0,1),IF(AG74="",0,1),IF(AG75="",0,1),IF(AG76="",0,1),IF(AG77="",0,1),IF(AG78="",0,1),IF(AG79="",0,1),IF(AG80="",0,1),IF(AG81="",0,1))&gt;0,29,0)</f>
        <v>0</v>
      </c>
      <c r="AH387">
        <f>IF(SUM(IF(AH14="",0,1),IF(AH15="",0,1),IF(AH16="",0,1),IF(AH17="",0,1),IF(AH18="",0,1),IF(AH21="",0,1),IF(AH22="",0,1),IF(AH23="",0,1),IF(AH24="",0,1),IF(AH27="",0,1),IF(AH28="",0,1),IF(AH29="",0,1),IF(AH33="",0,1),IF(AH34="",0,1),IF(AH35="",0,1),IF(AH36="",0,1),IF(AH39="",0,1),IF(AH40="",0,1),IF(AH43="",0,1),IF(AH44="",0,1),IF(AH45="",0,1),IF(AH46="",0,1),IF(AH47="",0,1),IF(AH48="",0,1),IF(AH49="",0,1),IF(AH50="",0,1),IF(AH53="",0,1),IF(AH54="",0,1),IF(AH55="",0,1),IF(AH56="",0,1),IF(AH57="",0,1),IF(AH58="",0,1),IF(AH61="",0,1),IF(AH62="",0,1),IF(AH63="",0,1),IF(AH64="",0,1),IF(AH65="",0,1),IF(AH66="",0,1),IF(AH67="",0,1),IF(AH68="",0,1),IF(AH69="",0,1),IF(AH70="",0,1),IF(AH71="",0,1),IF(AH74="",0,1),IF(AH75="",0,1),IF(AH76="",0,1),IF(AH77="",0,1),IF(AH78="",0,1),IF(AH79="",0,1),IF(AH80="",0,1),IF(AH81="",0,1))&gt;0,30,0)</f>
        <v>0</v>
      </c>
      <c r="AI387">
        <f>IF(SUM(IF(AI14="",0,1),IF(AI15="",0,1),IF(AI16="",0,1),IF(AI17="",0,1),IF(AI18="",0,1),IF(AI21="",0,1),IF(AI22="",0,1),IF(AI23="",0,1),IF(AI24="",0,1),IF(AI27="",0,1),IF(AI28="",0,1),IF(AI29="",0,1),IF(AI33="",0,1),IF(AI34="",0,1),IF(AI35="",0,1),IF(AI36="",0,1),IF(AI39="",0,1),IF(AI40="",0,1),IF(AI43="",0,1),IF(AI44="",0,1),IF(AI45="",0,1),IF(AI46="",0,1),IF(AI47="",0,1),IF(AI48="",0,1),IF(AI49="",0,1),IF(AI50="",0,1),IF(AI53="",0,1),IF(AI54="",0,1),IF(AI55="",0,1),IF(AI56="",0,1),IF(AI57="",0,1),IF(AI58="",0,1),IF(AI61="",0,1),IF(AI62="",0,1),IF(AI63="",0,1),IF(AI64="",0,1),IF(AI65="",0,1),IF(AI66="",0,1),IF(AI67="",0,1),IF(AI68="",0,1),IF(AI69="",0,1),IF(AI70="",0,1),IF(AI71="",0,1),IF(AI74="",0,1),IF(AI75="",0,1),IF(AI76="",0,1),IF(AI77="",0,1),IF(AI78="",0,1),IF(AI79="",0,1),IF(AI80="",0,1),IF(AI81="",0,1))&gt;0,31,0)</f>
        <v>0</v>
      </c>
      <c r="AJ387">
        <f>IF(SUM(IF(AJ14="",0,1),IF(AJ15="",0,1),IF(AJ16="",0,1),IF(AJ17="",0,1),IF(AJ18="",0,1),IF(AJ21="",0,1),IF(AJ22="",0,1),IF(AJ23="",0,1),IF(AJ24="",0,1),IF(AJ27="",0,1),IF(AJ28="",0,1),IF(AJ29="",0,1),IF(AJ33="",0,1),IF(AJ34="",0,1),IF(AJ35="",0,1),IF(AJ36="",0,1),IF(AJ39="",0,1),IF(AJ40="",0,1),IF(AJ43="",0,1),IF(AJ44="",0,1),IF(AJ45="",0,1),IF(AJ46="",0,1),IF(AJ47="",0,1),IF(AJ48="",0,1),IF(AJ49="",0,1),IF(AJ50="",0,1),IF(AJ53="",0,1),IF(AJ54="",0,1),IF(AJ55="",0,1),IF(AJ56="",0,1),IF(AJ57="",0,1),IF(AJ58="",0,1),IF(AJ61="",0,1),IF(AJ62="",0,1),IF(AJ63="",0,1),IF(AJ64="",0,1),IF(AJ65="",0,1),IF(AJ66="",0,1),IF(AJ67="",0,1),IF(AJ68="",0,1),IF(AJ69="",0,1),IF(AJ70="",0,1),IF(AJ71="",0,1),IF(AJ74="",0,1),IF(AJ75="",0,1),IF(AJ76="",0,1),IF(AJ77="",0,1),IF(AJ78="",0,1),IF(AJ79="",0,1),IF(AJ80="",0,1),IF(AJ81="",0,1))&gt;0,32,0)</f>
        <v>0</v>
      </c>
      <c r="AK387">
        <f>IF(SUM(IF(AK14="",0,1),IF(AK15="",0,1),IF(AK16="",0,1),IF(AK17="",0,1),IF(AK18="",0,1),IF(AK21="",0,1),IF(AK22="",0,1),IF(AK23="",0,1),IF(AK24="",0,1),IF(AK27="",0,1),IF(AK28="",0,1),IF(AK29="",0,1),IF(AK33="",0,1),IF(AK34="",0,1),IF(AK35="",0,1),IF(AK36="",0,1),IF(AK39="",0,1),IF(AK40="",0,1),IF(AK43="",0,1),IF(AK44="",0,1),IF(AK45="",0,1),IF(AK46="",0,1),IF(AK47="",0,1),IF(AK48="",0,1),IF(AK49="",0,1),IF(AK50="",0,1),IF(AK53="",0,1),IF(AK54="",0,1),IF(AK55="",0,1),IF(AK56="",0,1),IF(AK57="",0,1),IF(AK58="",0,1),IF(AK61="",0,1),IF(AK62="",0,1),IF(AK63="",0,1),IF(AK64="",0,1),IF(AK65="",0,1),IF(AK66="",0,1),IF(AK67="",0,1),IF(AK68="",0,1),IF(AK69="",0,1),IF(AK70="",0,1),IF(AK71="",0,1),IF(AK74="",0,1),IF(AK75="",0,1),IF(AK76="",0,1),IF(AK77="",0,1),IF(AK78="",0,1),IF(AK79="",0,1),IF(AK80="",0,1),IF(AK81="",0,1))&gt;0,33,0)</f>
        <v>0</v>
      </c>
      <c r="AL387">
        <f>IF(SUM(IF(AL14="",0,1),IF(AL15="",0,1),IF(AL16="",0,1),IF(AL17="",0,1),IF(AL18="",0,1),IF(AL21="",0,1),IF(AL22="",0,1),IF(AL23="",0,1),IF(AL24="",0,1),IF(AL27="",0,1),IF(AL28="",0,1),IF(AL29="",0,1),IF(AL33="",0,1),IF(AL34="",0,1),IF(AL35="",0,1),IF(AL36="",0,1),IF(AL39="",0,1),IF(AL40="",0,1),IF(AL43="",0,1),IF(AL44="",0,1),IF(AL45="",0,1),IF(AL46="",0,1),IF(AL47="",0,1),IF(AL48="",0,1),IF(AL49="",0,1),IF(AL50="",0,1),IF(AL53="",0,1),IF(AL54="",0,1),IF(AL55="",0,1),IF(AL56="",0,1),IF(AL57="",0,1),IF(AL58="",0,1),IF(AL61="",0,1),IF(AL62="",0,1),IF(AL63="",0,1),IF(AL64="",0,1),IF(AL65="",0,1),IF(AL66="",0,1),IF(AL67="",0,1),IF(AL68="",0,1),IF(AL69="",0,1),IF(AL70="",0,1),IF(AL71="",0,1),IF(AL74="",0,1),IF(AL75="",0,1),IF(AL76="",0,1),IF(AL77="",0,1),IF(AL78="",0,1),IF(AL79="",0,1),IF(AL80="",0,1),IF(AL81="",0,1))&gt;0,34,0)</f>
        <v>0</v>
      </c>
      <c r="AM387">
        <f>IF(SUM(IF(AM14="",0,1),IF(AM15="",0,1),IF(AM16="",0,1),IF(AM17="",0,1),IF(AM18="",0,1),IF(AM21="",0,1),IF(AM22="",0,1),IF(AM23="",0,1),IF(AM24="",0,1),IF(AM27="",0,1),IF(AM28="",0,1),IF(AM29="",0,1),IF(AM33="",0,1),IF(AM34="",0,1),IF(AM35="",0,1),IF(AM36="",0,1),IF(AM39="",0,1),IF(AM40="",0,1),IF(AM43="",0,1),IF(AM44="",0,1),IF(AM45="",0,1),IF(AM46="",0,1),IF(AM47="",0,1),IF(AM48="",0,1),IF(AM49="",0,1),IF(AM50="",0,1),IF(AM53="",0,1),IF(AM54="",0,1),IF(AM55="",0,1),IF(AM56="",0,1),IF(AM57="",0,1),IF(AM58="",0,1),IF(AM61="",0,1),IF(AM62="",0,1),IF(AM63="",0,1),IF(AM64="",0,1),IF(AM65="",0,1),IF(AM66="",0,1),IF(AM67="",0,1),IF(AM68="",0,1),IF(AM69="",0,1),IF(AM70="",0,1),IF(AM71="",0,1),IF(AM74="",0,1),IF(AM75="",0,1),IF(AM76="",0,1),IF(AM77="",0,1),IF(AM78="",0,1),IF(AM79="",0,1),IF(AM80="",0,1),IF(AM81="",0,1))&gt;0,35,0)</f>
        <v>0</v>
      </c>
      <c r="AN387">
        <f>IF(SUM(IF(AN14="",0,1),IF(AN15="",0,1),IF(AN16="",0,1),IF(AN17="",0,1),IF(AN18="",0,1),IF(AN21="",0,1),IF(AN22="",0,1),IF(AN23="",0,1),IF(AN24="",0,1),IF(AN27="",0,1),IF(AN28="",0,1),IF(AN29="",0,1),IF(AN33="",0,1),IF(AN34="",0,1),IF(AN35="",0,1),IF(AN36="",0,1),IF(AN39="",0,1),IF(AN40="",0,1),IF(AN43="",0,1),IF(AN44="",0,1),IF(AN45="",0,1),IF(AN46="",0,1),IF(AN47="",0,1),IF(AN48="",0,1),IF(AN49="",0,1),IF(AN50="",0,1),IF(AN53="",0,1),IF(AN54="",0,1),IF(AN55="",0,1),IF(AN56="",0,1),IF(AN57="",0,1),IF(AN58="",0,1),IF(AN61="",0,1),IF(AN62="",0,1),IF(AN63="",0,1),IF(AN64="",0,1),IF(AN65="",0,1),IF(AN66="",0,1),IF(AN67="",0,1),IF(AN68="",0,1),IF(AN69="",0,1),IF(AN70="",0,1),IF(AN71="",0,1),IF(AN74="",0,1),IF(AN75="",0,1),IF(AN76="",0,1),IF(AN77="",0,1),IF(AN78="",0,1),IF(AN79="",0,1),IF(AN80="",0,1),IF(AN81="",0,1))&gt;0,36,0)</f>
        <v>0</v>
      </c>
      <c r="AO387">
        <f>IF(SUM(IF(AO14="",0,1),IF(AO15="",0,1),IF(AO16="",0,1),IF(AO17="",0,1),IF(AO18="",0,1),IF(AO21="",0,1),IF(AO22="",0,1),IF(AO23="",0,1),IF(AO24="",0,1),IF(AO27="",0,1),IF(AO28="",0,1),IF(AO29="",0,1),IF(AO33="",0,1),IF(AO34="",0,1),IF(AO35="",0,1),IF(AO36="",0,1),IF(AO39="",0,1),IF(AO40="",0,1),IF(AO43="",0,1),IF(AO44="",0,1),IF(AO45="",0,1),IF(AO46="",0,1),IF(AO47="",0,1),IF(AO48="",0,1),IF(AO49="",0,1),IF(AO50="",0,1),IF(AO53="",0,1),IF(AO54="",0,1),IF(AO55="",0,1),IF(AO56="",0,1),IF(AO57="",0,1),IF(AO58="",0,1),IF(AO61="",0,1),IF(AO62="",0,1),IF(AO63="",0,1),IF(AO64="",0,1),IF(AO65="",0,1),IF(AO66="",0,1),IF(AO67="",0,1),IF(AO68="",0,1),IF(AO69="",0,1),IF(AO70="",0,1),IF(AO71="",0,1),IF(AO74="",0,1),IF(AO75="",0,1),IF(AO76="",0,1),IF(AO77="",0,1),IF(AO78="",0,1),IF(AO79="",0,1),IF(AO80="",0,1),IF(AO81="",0,1))&gt;0,37,0)</f>
        <v>0</v>
      </c>
      <c r="AP387">
        <f>IF(SUM(IF(AP14="",0,1),IF(AP15="",0,1),IF(AP16="",0,1),IF(AP17="",0,1),IF(AP18="",0,1),IF(AP21="",0,1),IF(AP22="",0,1),IF(AP23="",0,1),IF(AP24="",0,1),IF(AP27="",0,1),IF(AP28="",0,1),IF(AP29="",0,1),IF(AP33="",0,1),IF(AP34="",0,1),IF(AP35="",0,1),IF(AP36="",0,1),IF(AP39="",0,1),IF(AP40="",0,1),IF(AP43="",0,1),IF(AP44="",0,1),IF(AP45="",0,1),IF(AP46="",0,1),IF(AP47="",0,1),IF(AP48="",0,1),IF(AP49="",0,1),IF(AP50="",0,1),IF(AP53="",0,1),IF(AP54="",0,1),IF(AP55="",0,1),IF(AP56="",0,1),IF(AP57="",0,1),IF(AP58="",0,1),IF(AP61="",0,1),IF(AP62="",0,1),IF(AP63="",0,1),IF(AP64="",0,1),IF(AP65="",0,1),IF(AP66="",0,1),IF(AP67="",0,1),IF(AP68="",0,1),IF(AP69="",0,1),IF(AP70="",0,1),IF(AP71="",0,1),IF(AP74="",0,1),IF(AP75="",0,1),IF(AP76="",0,1),IF(AP77="",0,1),IF(AP78="",0,1),IF(AP79="",0,1),IF(AP80="",0,1),IF(AP81="",0,1))&gt;0,38,0)</f>
        <v>0</v>
      </c>
      <c r="AQ387">
        <f>IF(SUM(IF(AQ14="",0,1),IF(AQ15="",0,1),IF(AQ16="",0,1),IF(AQ17="",0,1),IF(AQ18="",0,1),IF(AQ21="",0,1),IF(AQ22="",0,1),IF(AQ23="",0,1),IF(AQ24="",0,1),IF(AQ27="",0,1),IF(AQ28="",0,1),IF(AQ29="",0,1),IF(AQ33="",0,1),IF(AQ34="",0,1),IF(AQ35="",0,1),IF(AQ36="",0,1),IF(AQ39="",0,1),IF(AQ40="",0,1),IF(AQ43="",0,1),IF(AQ44="",0,1),IF(AQ45="",0,1),IF(AQ46="",0,1),IF(AQ47="",0,1),IF(AQ48="",0,1),IF(AQ49="",0,1),IF(AQ50="",0,1),IF(AQ53="",0,1),IF(AQ54="",0,1),IF(AQ55="",0,1),IF(AQ56="",0,1),IF(AQ57="",0,1),IF(AQ58="",0,1),IF(AQ61="",0,1),IF(AQ62="",0,1),IF(AQ63="",0,1),IF(AQ64="",0,1),IF(AQ65="",0,1),IF(AQ66="",0,1),IF(AQ67="",0,1),IF(AQ68="",0,1),IF(AQ69="",0,1),IF(AQ70="",0,1),IF(AQ71="",0,1),IF(AQ74="",0,1),IF(AQ75="",0,1),IF(AQ76="",0,1),IF(AQ77="",0,1),IF(AQ78="",0,1),IF(AQ79="",0,1),IF(AQ80="",0,1),IF(AQ81="",0,1))&gt;0,39,0)</f>
        <v>0</v>
      </c>
      <c r="AR387">
        <f>IF(SUM(IF(AR14="",0,1),IF(AR15="",0,1),IF(AR16="",0,1),IF(AR17="",0,1),IF(AR18="",0,1),IF(AR21="",0,1),IF(AR22="",0,1),IF(AR23="",0,1),IF(AR24="",0,1),IF(AR27="",0,1),IF(AR28="",0,1),IF(AR29="",0,1),IF(AR33="",0,1),IF(AR34="",0,1),IF(AR35="",0,1),IF(AR36="",0,1),IF(AR39="",0,1),IF(AR40="",0,1),IF(AR43="",0,1),IF(AR44="",0,1),IF(AR45="",0,1),IF(AR46="",0,1),IF(AR47="",0,1),IF(AR48="",0,1),IF(AR49="",0,1),IF(AR50="",0,1),IF(AR53="",0,1),IF(AR54="",0,1),IF(AR55="",0,1),IF(AR56="",0,1),IF(AR57="",0,1),IF(AR58="",0,1),IF(AR61="",0,1),IF(AR62="",0,1),IF(AR63="",0,1),IF(AR64="",0,1),IF(AR65="",0,1),IF(AR66="",0,1),IF(AR67="",0,1),IF(AR68="",0,1),IF(AR69="",0,1),IF(AR70="",0,1),IF(AR71="",0,1),IF(AR74="",0,1),IF(AR75="",0,1),IF(AR76="",0,1),IF(AR77="",0,1),IF(AR78="",0,1),IF(AR79="",0,1),IF(AR80="",0,1),IF(AR81="",0,1))&gt;0,40,0)</f>
        <v>0</v>
      </c>
      <c r="AS387">
        <f>IF(SUM(IF(AS14="",0,1),IF(AS15="",0,1),IF(AS16="",0,1),IF(AS17="",0,1),IF(AS18="",0,1),IF(AS21="",0,1),IF(AS22="",0,1),IF(AS23="",0,1),IF(AS24="",0,1),IF(AS27="",0,1),IF(AS28="",0,1),IF(AS29="",0,1),IF(AS33="",0,1),IF(AS34="",0,1),IF(AS35="",0,1),IF(AS36="",0,1),IF(AS39="",0,1),IF(AS40="",0,1),IF(AS43="",0,1),IF(AS44="",0,1),IF(AS45="",0,1),IF(AS46="",0,1),IF(AS47="",0,1),IF(AS48="",0,1),IF(AS49="",0,1),IF(AS50="",0,1),IF(AS53="",0,1),IF(AS54="",0,1),IF(AS55="",0,1),IF(AS56="",0,1),IF(AS57="",0,1),IF(AS58="",0,1),IF(AS61="",0,1),IF(AS62="",0,1),IF(AS63="",0,1),IF(AS64="",0,1),IF(AS65="",0,1),IF(AS66="",0,1),IF(AS67="",0,1),IF(AS68="",0,1),IF(AS69="",0,1),IF(AS70="",0,1),IF(AS71="",0,1),IF(AS74="",0,1),IF(AS75="",0,1),IF(AS76="",0,1),IF(AS77="",0,1),IF(AS78="",0,1),IF(AS79="",0,1),IF(AS80="",0,1),IF(AS81="",0,1))&gt;0,41,0)</f>
        <v>0</v>
      </c>
      <c r="AT387">
        <f>IF(SUM(IF(AT14="",0,1),IF(AT15="",0,1),IF(AT16="",0,1),IF(AT17="",0,1),IF(AT18="",0,1),IF(AT21="",0,1),IF(AT22="",0,1),IF(AT23="",0,1),IF(AT24="",0,1),IF(AT27="",0,1),IF(AT28="",0,1),IF(AT29="",0,1),IF(AT33="",0,1),IF(AT34="",0,1),IF(AT35="",0,1),IF(AT36="",0,1),IF(AT39="",0,1),IF(AT40="",0,1),IF(AT43="",0,1),IF(AT44="",0,1),IF(AT45="",0,1),IF(AT46="",0,1),IF(AT47="",0,1),IF(AT48="",0,1),IF(AT49="",0,1),IF(AT50="",0,1),IF(AT53="",0,1),IF(AT54="",0,1),IF(AT55="",0,1),IF(AT56="",0,1),IF(AT57="",0,1),IF(AT58="",0,1),IF(AT61="",0,1),IF(AT62="",0,1),IF(AT63="",0,1),IF(AT64="",0,1),IF(AT65="",0,1),IF(AT66="",0,1),IF(AT67="",0,1),IF(AT68="",0,1),IF(AT69="",0,1),IF(AT70="",0,1),IF(AT71="",0,1),IF(AT74="",0,1),IF(AT75="",0,1),IF(AT76="",0,1),IF(AT77="",0,1),IF(AT78="",0,1),IF(AT79="",0,1),IF(AT80="",0,1),IF(AT81="",0,1))&gt;0,42,0)</f>
        <v>0</v>
      </c>
      <c r="AU387">
        <f>IF(SUM(IF(AU14="",0,1),IF(AU15="",0,1),IF(AU16="",0,1),IF(AU17="",0,1),IF(AU18="",0,1),IF(AU21="",0,1),IF(AU22="",0,1),IF(AU23="",0,1),IF(AU24="",0,1),IF(AU27="",0,1),IF(AU28="",0,1),IF(AU29="",0,1),IF(AU33="",0,1),IF(AU34="",0,1),IF(AU35="",0,1),IF(AU36="",0,1),IF(AU39="",0,1),IF(AU40="",0,1),IF(AU43="",0,1),IF(AU44="",0,1),IF(AU45="",0,1),IF(AU46="",0,1),IF(AU47="",0,1),IF(AU48="",0,1),IF(AU49="",0,1),IF(AU50="",0,1),IF(AU53="",0,1),IF(AU54="",0,1),IF(AU55="",0,1),IF(AU56="",0,1),IF(AU57="",0,1),IF(AU58="",0,1),IF(AU61="",0,1),IF(AU62="",0,1),IF(AU63="",0,1),IF(AU64="",0,1),IF(AU65="",0,1),IF(AU66="",0,1),IF(AU67="",0,1),IF(AU68="",0,1),IF(AU69="",0,1),IF(AU70="",0,1),IF(AU71="",0,1),IF(AU74="",0,1),IF(AU75="",0,1),IF(AU76="",0,1),IF(AU77="",0,1),IF(AU78="",0,1),IF(AU79="",0,1),IF(AU80="",0,1),IF(AU81="",0,1))&gt;0,43,0)</f>
        <v>0</v>
      </c>
      <c r="AV387">
        <f>IF(SUM(IF(AV14="",0,1),IF(AV15="",0,1),IF(AV16="",0,1),IF(AV17="",0,1),IF(AV18="",0,1),IF(AV21="",0,1),IF(AV22="",0,1),IF(AV23="",0,1),IF(AV24="",0,1),IF(AV27="",0,1),IF(AV28="",0,1),IF(AV29="",0,1),IF(AV33="",0,1),IF(AV34="",0,1),IF(AV35="",0,1),IF(AV36="",0,1),IF(AV39="",0,1),IF(AV40="",0,1),IF(AV43="",0,1),IF(AV44="",0,1),IF(AV45="",0,1),IF(AV46="",0,1),IF(AV47="",0,1),IF(AV48="",0,1),IF(AV49="",0,1),IF(AV50="",0,1),IF(AV53="",0,1),IF(AV54="",0,1),IF(AV55="",0,1),IF(AV56="",0,1),IF(AV57="",0,1),IF(AV58="",0,1),IF(AV61="",0,1),IF(AV62="",0,1),IF(AV63="",0,1),IF(AV64="",0,1),IF(AV65="",0,1),IF(AV66="",0,1),IF(AV67="",0,1),IF(AV68="",0,1),IF(AV69="",0,1),IF(AV70="",0,1),IF(AV71="",0,1),IF(AV74="",0,1),IF(AV75="",0,1),IF(AV76="",0,1),IF(AV77="",0,1),IF(AV78="",0,1),IF(AV79="",0,1),IF(AV80="",0,1),IF(AV81="",0,1))&gt;0,44,0)</f>
        <v>0</v>
      </c>
      <c r="AW387">
        <f>IF(SUM(IF(AW14="",0,1),IF(AW15="",0,1),IF(AW16="",0,1),IF(AW17="",0,1),IF(AW18="",0,1),IF(AW21="",0,1),IF(AW22="",0,1),IF(AW23="",0,1),IF(AW24="",0,1),IF(AW27="",0,1),IF(AW28="",0,1),IF(AW29="",0,1),IF(AW33="",0,1),IF(AW34="",0,1),IF(AW35="",0,1),IF(AW36="",0,1),IF(AW39="",0,1),IF(AW40="",0,1),IF(AW43="",0,1),IF(AW44="",0,1),IF(AW45="",0,1),IF(AW46="",0,1),IF(AW47="",0,1),IF(AW48="",0,1),IF(AW49="",0,1),IF(AW50="",0,1),IF(AW53="",0,1),IF(AW54="",0,1),IF(AW55="",0,1),IF(AW56="",0,1),IF(AW57="",0,1),IF(AW58="",0,1),IF(AW61="",0,1),IF(AW62="",0,1),IF(AW63="",0,1),IF(AW64="",0,1),IF(AW65="",0,1),IF(AW66="",0,1),IF(AW67="",0,1),IF(AW68="",0,1),IF(AW69="",0,1),IF(AW70="",0,1),IF(AW71="",0,1),IF(AW74="",0,1),IF(AW75="",0,1),IF(AW76="",0,1),IF(AW77="",0,1),IF(AW78="",0,1),IF(AW79="",0,1),IF(AW80="",0,1),IF(AW81="",0,1))&gt;0,45,0)</f>
        <v>0</v>
      </c>
      <c r="AX387">
        <f>IF(SUM(IF(AX14="",0,1),IF(AX15="",0,1),IF(AX16="",0,1),IF(AX17="",0,1),IF(AX18="",0,1),IF(AX21="",0,1),IF(AX22="",0,1),IF(AX23="",0,1),IF(AX24="",0,1),IF(AX27="",0,1),IF(AX28="",0,1),IF(AX29="",0,1),IF(AX33="",0,1),IF(AX34="",0,1),IF(AX35="",0,1),IF(AX36="",0,1),IF(AX39="",0,1),IF(AX40="",0,1),IF(AX43="",0,1),IF(AX44="",0,1),IF(AX45="",0,1),IF(AX46="",0,1),IF(AX47="",0,1),IF(AX48="",0,1),IF(AX49="",0,1),IF(AX50="",0,1),IF(AX53="",0,1),IF(AX54="",0,1),IF(AX55="",0,1),IF(AX56="",0,1),IF(AX57="",0,1),IF(AX58="",0,1),IF(AX61="",0,1),IF(AX62="",0,1),IF(AX63="",0,1),IF(AX64="",0,1),IF(AX65="",0,1),IF(AX66="",0,1),IF(AX67="",0,1),IF(AX68="",0,1),IF(AX69="",0,1),IF(AX70="",0,1),IF(AX71="",0,1),IF(AX74="",0,1),IF(AX75="",0,1),IF(AX76="",0,1),IF(AX77="",0,1),IF(AX78="",0,1),IF(AX79="",0,1),IF(AX80="",0,1),IF(AX81="",0,1))&gt;0,46,0)</f>
        <v>0</v>
      </c>
      <c r="AY387">
        <f>IF(SUM(IF(AY14="",0,1),IF(AY15="",0,1),IF(AY16="",0,1),IF(AY17="",0,1),IF(AY18="",0,1),IF(AY21="",0,1),IF(AY22="",0,1),IF(AY23="",0,1),IF(AY24="",0,1),IF(AY27="",0,1),IF(AY28="",0,1),IF(AY29="",0,1),IF(AY33="",0,1),IF(AY34="",0,1),IF(AY35="",0,1),IF(AY36="",0,1),IF(AY39="",0,1),IF(AY40="",0,1),IF(AY43="",0,1),IF(AY44="",0,1),IF(AY45="",0,1),IF(AY46="",0,1),IF(AY47="",0,1),IF(AY48="",0,1),IF(AY49="",0,1),IF(AY50="",0,1),IF(AY53="",0,1),IF(AY54="",0,1),IF(AY55="",0,1),IF(AY56="",0,1),IF(AY57="",0,1),IF(AY58="",0,1),IF(AY61="",0,1),IF(AY62="",0,1),IF(AY63="",0,1),IF(AY64="",0,1),IF(AY65="",0,1),IF(AY66="",0,1),IF(AY67="",0,1),IF(AY68="",0,1),IF(AY69="",0,1),IF(AY70="",0,1),IF(AY71="",0,1),IF(AY74="",0,1),IF(AY75="",0,1),IF(AY76="",0,1),IF(AY77="",0,1),IF(AY78="",0,1),IF(AY79="",0,1),IF(AY80="",0,1),IF(AY81="",0,1))&gt;0,47,0)</f>
        <v>0</v>
      </c>
      <c r="AZ387">
        <f>IF(SUM(IF(AZ14="",0,1),IF(AZ15="",0,1),IF(AZ16="",0,1),IF(AZ17="",0,1),IF(AZ18="",0,1),IF(AZ21="",0,1),IF(AZ22="",0,1),IF(AZ23="",0,1),IF(AZ24="",0,1),IF(AZ27="",0,1),IF(AZ28="",0,1),IF(AZ29="",0,1),IF(AZ33="",0,1),IF(AZ34="",0,1),IF(AZ35="",0,1),IF(AZ36="",0,1),IF(AZ39="",0,1),IF(AZ40="",0,1),IF(AZ43="",0,1),IF(AZ44="",0,1),IF(AZ45="",0,1),IF(AZ46="",0,1),IF(AZ47="",0,1),IF(AZ48="",0,1),IF(AZ49="",0,1),IF(AZ50="",0,1),IF(AZ53="",0,1),IF(AZ54="",0,1),IF(AZ55="",0,1),IF(AZ56="",0,1),IF(AZ57="",0,1),IF(AZ58="",0,1),IF(AZ61="",0,1),IF(AZ62="",0,1),IF(AZ63="",0,1),IF(AZ64="",0,1),IF(AZ65="",0,1),IF(AZ66="",0,1),IF(AZ67="",0,1),IF(AZ68="",0,1),IF(AZ69="",0,1),IF(AZ70="",0,1),IF(AZ71="",0,1),IF(AZ74="",0,1),IF(AZ75="",0,1),IF(AZ76="",0,1),IF(AZ77="",0,1),IF(AZ78="",0,1),IF(AZ79="",0,1),IF(AZ80="",0,1),IF(AZ81="",0,1))&gt;0,48,0)</f>
        <v>0</v>
      </c>
      <c r="BA387">
        <f>IF(SUM(IF(BA14="",0,1),IF(BA15="",0,1),IF(BA16="",0,1),IF(BA17="",0,1),IF(BA18="",0,1),IF(BA21="",0,1),IF(BA22="",0,1),IF(BA23="",0,1),IF(BA24="",0,1),IF(BA27="",0,1),IF(BA28="",0,1),IF(BA29="",0,1),IF(BA33="",0,1),IF(BA34="",0,1),IF(BA35="",0,1),IF(BA36="",0,1),IF(BA39="",0,1),IF(BA40="",0,1),IF(BA43="",0,1),IF(BA44="",0,1),IF(BA45="",0,1),IF(BA46="",0,1),IF(BA47="",0,1),IF(BA48="",0,1),IF(BA49="",0,1),IF(BA50="",0,1),IF(BA53="",0,1),IF(BA54="",0,1),IF(BA55="",0,1),IF(BA56="",0,1),IF(BA57="",0,1),IF(BA58="",0,1),IF(BA61="",0,1),IF(BA62="",0,1),IF(BA63="",0,1),IF(BA64="",0,1),IF(BA65="",0,1),IF(BA66="",0,1),IF(BA67="",0,1),IF(BA68="",0,1),IF(BA69="",0,1),IF(BA70="",0,1),IF(BA71="",0,1),IF(BA74="",0,1),IF(BA75="",0,1),IF(BA76="",0,1),IF(BA77="",0,1),IF(BA78="",0,1),IF(BA79="",0,1),IF(BA80="",0,1),IF(BA81="",0,1))&gt;0,49,0)</f>
        <v>0</v>
      </c>
      <c r="BB387">
        <f>IF(SUM(IF(BB14="",0,1),IF(BB15="",0,1),IF(BB16="",0,1),IF(BB17="",0,1),IF(BB18="",0,1),IF(BB21="",0,1),IF(BB22="",0,1),IF(BB23="",0,1),IF(BB24="",0,1),IF(BB27="",0,1),IF(BB28="",0,1),IF(BB29="",0,1),IF(BB33="",0,1),IF(BB34="",0,1),IF(BB35="",0,1),IF(BB36="",0,1),IF(BB39="",0,1),IF(BB40="",0,1),IF(BB43="",0,1),IF(BB44="",0,1),IF(BB45="",0,1),IF(BB46="",0,1),IF(BB47="",0,1),IF(BB48="",0,1),IF(BB49="",0,1),IF(BB50="",0,1),IF(BB53="",0,1),IF(BB54="",0,1),IF(BB55="",0,1),IF(BB56="",0,1),IF(BB57="",0,1),IF(BB58="",0,1),IF(BB61="",0,1),IF(BB62="",0,1),IF(BB63="",0,1),IF(BB64="",0,1),IF(BB65="",0,1),IF(BB66="",0,1),IF(BB67="",0,1),IF(BB68="",0,1),IF(BB69="",0,1),IF(BB70="",0,1),IF(BB71="",0,1),IF(BB74="",0,1),IF(BB75="",0,1),IF(BB76="",0,1),IF(BB77="",0,1),IF(BB78="",0,1),IF(BB79="",0,1),IF(BB80="",0,1),IF(BB81="",0,1))&gt;0,50,0)</f>
        <v>0</v>
      </c>
      <c r="BC387">
        <f>IF(SUM(IF(BC14="",0,1),IF(BC15="",0,1),IF(BC16="",0,1),IF(BC17="",0,1),IF(BC18="",0,1),IF(BC21="",0,1),IF(BC22="",0,1),IF(BC23="",0,1),IF(BC24="",0,1),IF(BC27="",0,1),IF(BC28="",0,1),IF(BC29="",0,1),IF(BC33="",0,1),IF(BC34="",0,1),IF(BC35="",0,1),IF(BC36="",0,1),IF(BC39="",0,1),IF(BC40="",0,1),IF(BC43="",0,1),IF(BC44="",0,1),IF(BC45="",0,1),IF(BC46="",0,1),IF(BC47="",0,1),IF(BC48="",0,1),IF(BC49="",0,1),IF(BC50="",0,1),IF(BC53="",0,1),IF(BC54="",0,1),IF(BC55="",0,1),IF(BC56="",0,1),IF(BC57="",0,1),IF(BC58="",0,1),IF(BC61="",0,1),IF(BC62="",0,1),IF(BC63="",0,1),IF(BC64="",0,1),IF(BC65="",0,1),IF(BC66="",0,1),IF(BC67="",0,1),IF(BC68="",0,1),IF(BC69="",0,1),IF(BC70="",0,1),IF(BC71="",0,1),IF(BC74="",0,1),IF(BC75="",0,1),IF(BC76="",0,1),IF(BC77="",0,1),IF(BC78="",0,1),IF(BC79="",0,1),IF(BC80="",0,1),IF(BC81="",0,1))&gt;0,51,0)</f>
        <v>0</v>
      </c>
      <c r="BD387">
        <f>IF(SUM(IF(BD14="",0,1),IF(BD15="",0,1),IF(BD16="",0,1),IF(BD17="",0,1),IF(BD18="",0,1),IF(BD21="",0,1),IF(BD22="",0,1),IF(BD23="",0,1),IF(BD24="",0,1),IF(BD27="",0,1),IF(BD28="",0,1),IF(BD29="",0,1),IF(BD33="",0,1),IF(BD34="",0,1),IF(BD35="",0,1),IF(BD36="",0,1),IF(BD39="",0,1),IF(BD40="",0,1),IF(BD43="",0,1),IF(BD44="",0,1),IF(BD45="",0,1),IF(BD46="",0,1),IF(BD47="",0,1),IF(BD48="",0,1),IF(BD49="",0,1),IF(BD50="",0,1),IF(BD53="",0,1),IF(BD54="",0,1),IF(BD55="",0,1),IF(BD56="",0,1),IF(BD57="",0,1),IF(BD58="",0,1),IF(BD61="",0,1),IF(BD62="",0,1),IF(BD63="",0,1),IF(BD64="",0,1),IF(BD65="",0,1),IF(BD66="",0,1),IF(BD67="",0,1),IF(BD68="",0,1),IF(BD69="",0,1),IF(BD70="",0,1),IF(BD71="",0,1),IF(BD74="",0,1),IF(BD75="",0,1),IF(BD76="",0,1),IF(BD77="",0,1),IF(BD78="",0,1),IF(BD79="",0,1),IF(BD80="",0,1),IF(BD81="",0,1))&gt;0,52,0)</f>
        <v>0</v>
      </c>
      <c r="BE387">
        <f>IF(SUM(IF(BE14="",0,1),IF(BE15="",0,1),IF(BE16="",0,1),IF(BE17="",0,1),IF(BE18="",0,1),IF(BE21="",0,1),IF(BE22="",0,1),IF(BE23="",0,1),IF(BE24="",0,1),IF(BE27="",0,1),IF(BE28="",0,1),IF(BE29="",0,1),IF(BE33="",0,1),IF(BE34="",0,1),IF(BE35="",0,1),IF(BE36="",0,1),IF(BE39="",0,1),IF(BE40="",0,1),IF(BE43="",0,1),IF(BE44="",0,1),IF(BE45="",0,1),IF(BE46="",0,1),IF(BE47="",0,1),IF(BE48="",0,1),IF(BE49="",0,1),IF(BE50="",0,1),IF(BE53="",0,1),IF(BE54="",0,1),IF(BE55="",0,1),IF(BE56="",0,1),IF(BE57="",0,1),IF(BE58="",0,1),IF(BE61="",0,1),IF(BE62="",0,1),IF(BE63="",0,1),IF(BE64="",0,1),IF(BE65="",0,1),IF(BE66="",0,1),IF(BE67="",0,1),IF(BE68="",0,1),IF(BE69="",0,1),IF(BE70="",0,1),IF(BE71="",0,1),IF(BE74="",0,1),IF(BE75="",0,1),IF(BE76="",0,1),IF(BE77="",0,1),IF(BE78="",0,1),IF(BE79="",0,1),IF(BE80="",0,1),IF(BE81="",0,1))&gt;0,53,0)</f>
        <v>0</v>
      </c>
      <c r="BF387">
        <f>IF(SUM(IF(BF14="",0,1),IF(BF15="",0,1),IF(BF16="",0,1),IF(BF17="",0,1),IF(BF18="",0,1),IF(BF21="",0,1),IF(BF22="",0,1),IF(BF23="",0,1),IF(BF24="",0,1),IF(BF27="",0,1),IF(BF28="",0,1),IF(BF29="",0,1),IF(BF33="",0,1),IF(BF34="",0,1),IF(BF35="",0,1),IF(BF36="",0,1),IF(BF39="",0,1),IF(BF40="",0,1),IF(BF43="",0,1),IF(BF44="",0,1),IF(BF45="",0,1),IF(BF46="",0,1),IF(BF47="",0,1),IF(BF48="",0,1),IF(BF49="",0,1),IF(BF50="",0,1),IF(BF53="",0,1),IF(BF54="",0,1),IF(BF55="",0,1),IF(BF56="",0,1),IF(BF57="",0,1),IF(BF58="",0,1),IF(BF61="",0,1),IF(BF62="",0,1),IF(BF63="",0,1),IF(BF64="",0,1),IF(BF65="",0,1),IF(BF66="",0,1),IF(BF67="",0,1),IF(BF68="",0,1),IF(BF69="",0,1),IF(BF70="",0,1),IF(BF71="",0,1),IF(BF74="",0,1),IF(BF75="",0,1),IF(BF76="",0,1),IF(BF77="",0,1),IF(BF78="",0,1),IF(BF79="",0,1),IF(BF80="",0,1),IF(BF81="",0,1))&gt;0,54,0)</f>
        <v>0</v>
      </c>
      <c r="BG387">
        <f>IF(SUM(IF(BG14="",0,1),IF(BG15="",0,1),IF(BG16="",0,1),IF(BG17="",0,1),IF(BG18="",0,1),IF(BG21="",0,1),IF(BG22="",0,1),IF(BG23="",0,1),IF(BG24="",0,1),IF(BG27="",0,1),IF(BG28="",0,1),IF(BG29="",0,1),IF(BG33="",0,1),IF(BG34="",0,1),IF(BG35="",0,1),IF(BG36="",0,1),IF(BG39="",0,1),IF(BG40="",0,1),IF(BG43="",0,1),IF(BG44="",0,1),IF(BG45="",0,1),IF(BG46="",0,1),IF(BG47="",0,1),IF(BG48="",0,1),IF(BG49="",0,1),IF(BG50="",0,1),IF(BG53="",0,1),IF(BG54="",0,1),IF(BG55="",0,1),IF(BG56="",0,1),IF(BG57="",0,1),IF(BG58="",0,1),IF(BG61="",0,1),IF(BG62="",0,1),IF(BG63="",0,1),IF(BG64="",0,1),IF(BG65="",0,1),IF(BG66="",0,1),IF(BG67="",0,1),IF(BG68="",0,1),IF(BG69="",0,1),IF(BG70="",0,1),IF(BG71="",0,1),IF(BG74="",0,1),IF(BG75="",0,1),IF(BG76="",0,1),IF(BG77="",0,1),IF(BG78="",0,1),IF(BG79="",0,1),IF(BG80="",0,1),IF(BG81="",0,1))&gt;0,55,0)</f>
        <v>0</v>
      </c>
      <c r="BH387">
        <f>IF(SUM(IF(BH14="",0,1),IF(BH15="",0,1),IF(BH16="",0,1),IF(BH17="",0,1),IF(BH18="",0,1),IF(BH21="",0,1),IF(BH22="",0,1),IF(BH23="",0,1),IF(BH24="",0,1),IF(BH27="",0,1),IF(BH28="",0,1),IF(BH29="",0,1),IF(BH33="",0,1),IF(BH34="",0,1),IF(BH35="",0,1),IF(BH36="",0,1),IF(BH39="",0,1),IF(BH40="",0,1),IF(BH43="",0,1),IF(BH44="",0,1),IF(BH45="",0,1),IF(BH46="",0,1),IF(BH47="",0,1),IF(BH48="",0,1),IF(BH49="",0,1),IF(BH50="",0,1),IF(BH53="",0,1),IF(BH54="",0,1),IF(BH55="",0,1),IF(BH56="",0,1),IF(BH57="",0,1),IF(BH58="",0,1),IF(BH61="",0,1),IF(BH62="",0,1),IF(BH63="",0,1),IF(BH64="",0,1),IF(BH65="",0,1),IF(BH66="",0,1),IF(BH67="",0,1),IF(BH68="",0,1),IF(BH69="",0,1),IF(BH70="",0,1),IF(BH71="",0,1),IF(BH74="",0,1),IF(BH75="",0,1),IF(BH76="",0,1),IF(BH77="",0,1),IF(BH78="",0,1),IF(BH79="",0,1),IF(BH80="",0,1),IF(BH81="",0,1))&gt;0,56,0)</f>
        <v>0</v>
      </c>
      <c r="BI387">
        <f>IF(SUM(IF(BI14="",0,1),IF(BI15="",0,1),IF(BI16="",0,1),IF(BI17="",0,1),IF(BI18="",0,1),IF(BI21="",0,1),IF(BI22="",0,1),IF(BI23="",0,1),IF(BI24="",0,1),IF(BI27="",0,1),IF(BI28="",0,1),IF(BI29="",0,1),IF(BI33="",0,1),IF(BI34="",0,1),IF(BI35="",0,1),IF(BI36="",0,1),IF(BI39="",0,1),IF(BI40="",0,1),IF(BI43="",0,1),IF(BI44="",0,1),IF(BI45="",0,1),IF(BI46="",0,1),IF(BI47="",0,1),IF(BI48="",0,1),IF(BI49="",0,1),IF(BI50="",0,1),IF(BI53="",0,1),IF(BI54="",0,1),IF(BI55="",0,1),IF(BI56="",0,1),IF(BI57="",0,1),IF(BI58="",0,1),IF(BI61="",0,1),IF(BI62="",0,1),IF(BI63="",0,1),IF(BI64="",0,1),IF(BI65="",0,1),IF(BI66="",0,1),IF(BI67="",0,1),IF(BI68="",0,1),IF(BI69="",0,1),IF(BI70="",0,1),IF(BI71="",0,1),IF(BI74="",0,1),IF(BI75="",0,1),IF(BI76="",0,1),IF(BI77="",0,1),IF(BI78="",0,1),IF(BI79="",0,1),IF(BI80="",0,1),IF(BI81="",0,1))&gt;0,57,0)</f>
        <v>0</v>
      </c>
      <c r="BJ387">
        <f>IF(SUM(IF(BJ14="",0,1),IF(BJ15="",0,1),IF(BJ16="",0,1),IF(BJ17="",0,1),IF(BJ18="",0,1),IF(BJ21="",0,1),IF(BJ22="",0,1),IF(BJ23="",0,1),IF(BJ24="",0,1),IF(BJ27="",0,1),IF(BJ28="",0,1),IF(BJ29="",0,1),IF(BJ33="",0,1),IF(BJ34="",0,1),IF(BJ35="",0,1),IF(BJ36="",0,1),IF(BJ39="",0,1),IF(BJ40="",0,1),IF(BJ43="",0,1),IF(BJ44="",0,1),IF(BJ45="",0,1),IF(BJ46="",0,1),IF(BJ47="",0,1),IF(BJ48="",0,1),IF(BJ49="",0,1),IF(BJ50="",0,1),IF(BJ53="",0,1),IF(BJ54="",0,1),IF(BJ55="",0,1),IF(BJ56="",0,1),IF(BJ57="",0,1),IF(BJ58="",0,1),IF(BJ61="",0,1),IF(BJ62="",0,1),IF(BJ63="",0,1),IF(BJ64="",0,1),IF(BJ65="",0,1),IF(BJ66="",0,1),IF(BJ67="",0,1),IF(BJ68="",0,1),IF(BJ69="",0,1),IF(BJ70="",0,1),IF(BJ71="",0,1),IF(BJ74="",0,1),IF(BJ75="",0,1),IF(BJ76="",0,1),IF(BJ77="",0,1),IF(BJ78="",0,1),IF(BJ79="",0,1),IF(BJ80="",0,1),IF(BJ81="",0,1))&gt;0,58,0)</f>
        <v>0</v>
      </c>
      <c r="BK387">
        <f>IF(SUM(IF(BK14="",0,1),IF(BK15="",0,1),IF(BK16="",0,1),IF(BK17="",0,1),IF(BK18="",0,1),IF(BK21="",0,1),IF(BK22="",0,1),IF(BK23="",0,1),IF(BK24="",0,1),IF(BK27="",0,1),IF(BK28="",0,1),IF(BK29="",0,1),IF(BK33="",0,1),IF(BK34="",0,1),IF(BK35="",0,1),IF(BK36="",0,1),IF(BK39="",0,1),IF(BK40="",0,1),IF(BK43="",0,1),IF(BK44="",0,1),IF(BK45="",0,1),IF(BK46="",0,1),IF(BK47="",0,1),IF(BK48="",0,1),IF(BK49="",0,1),IF(BK50="",0,1),IF(BK53="",0,1),IF(BK54="",0,1),IF(BK55="",0,1),IF(BK56="",0,1),IF(BK57="",0,1),IF(BK58="",0,1),IF(BK61="",0,1),IF(BK62="",0,1),IF(BK63="",0,1),IF(BK64="",0,1),IF(BK65="",0,1),IF(BK66="",0,1),IF(BK67="",0,1),IF(BK68="",0,1),IF(BK69="",0,1),IF(BK70="",0,1),IF(BK71="",0,1),IF(BK74="",0,1),IF(BK75="",0,1),IF(BK76="",0,1),IF(BK77="",0,1),IF(BK78="",0,1),IF(BK79="",0,1),IF(BK80="",0,1),IF(BK81="",0,1))&gt;0,59,0)</f>
        <v>0</v>
      </c>
      <c r="BL387">
        <f>IF(SUM(IF(BL14="",0,1),IF(BL15="",0,1),IF(BL16="",0,1),IF(BL17="",0,1),IF(BL18="",0,1),IF(BL21="",0,1),IF(BL22="",0,1),IF(BL23="",0,1),IF(BL24="",0,1),IF(BL27="",0,1),IF(BL28="",0,1),IF(BL29="",0,1),IF(BL33="",0,1),IF(BL34="",0,1),IF(BL35="",0,1),IF(BL36="",0,1),IF(BL39="",0,1),IF(BL40="",0,1),IF(BL43="",0,1),IF(BL44="",0,1),IF(BL45="",0,1),IF(BL46="",0,1),IF(BL47="",0,1),IF(BL48="",0,1),IF(BL49="",0,1),IF(BL50="",0,1),IF(BL53="",0,1),IF(BL54="",0,1),IF(BL55="",0,1),IF(BL56="",0,1),IF(BL57="",0,1),IF(BL58="",0,1),IF(BL61="",0,1),IF(BL62="",0,1),IF(BL63="",0,1),IF(BL64="",0,1),IF(BL65="",0,1),IF(BL66="",0,1),IF(BL67="",0,1),IF(BL68="",0,1),IF(BL69="",0,1),IF(BL70="",0,1),IF(BL71="",0,1),IF(BL74="",0,1),IF(BL75="",0,1),IF(BL76="",0,1),IF(BL77="",0,1),IF(BL78="",0,1),IF(BL79="",0,1),IF(BL80="",0,1),IF(BL81="",0,1))&gt;0,60,0)</f>
        <v>0</v>
      </c>
    </row>
    <row r="388" spans="2:64" hidden="1" x14ac:dyDescent="0.35">
      <c r="B388" t="s">
        <v>144</v>
      </c>
      <c r="E388">
        <f t="shared" ref="E388:AJ388" si="70">SUM(IF($D14="",0,IF(ISNUMBER($D14),IF(AND($D14&gt;=0,$D14&lt;=1),0,1),1)),IF($D15="",0,IF(ISNUMBER($D15),IF(AND($D15&gt;=0,$D15&lt;=1),0,1),1)),IF($D16="",0,IF(ISNUMBER($D16),IF(AND($D16&gt;=0,$D16&lt;=1),0,1),1)),IF($D17="",0,IF(ISNUMBER($D17),IF(AND($D17&gt;=0,$D17&lt;=1),0,1),1)),IF($D18="",0,IF(ISNUMBER($D18),IF(AND($D18&gt;=0,$D18&lt;=1),0,1),1)),IF($D21="",0,IF(ISNUMBER($D21),IF(AND($D21&gt;=0,$D21&lt;=1),0,1),1)),IF($D22="",0,IF(ISNUMBER($D22),IF(AND($D22&gt;=0,$D22&lt;=1),0,1),1)),IF($D23="",0,IF(ISNUMBER($D23),IF(AND($D23&gt;=0,$D23&lt;=1),0,1),1)),IF($D24="",0,IF(ISNUMBER($D24),IF(AND($D24&gt;=0,$D24&lt;=1),0,1),1)),IF($D27="",0,IF(ISNUMBER($D27),IF(AND($D27&gt;=0,$D27&lt;=1),0,1),1)),IF($D28="",0,IF(ISNUMBER($D28),IF(AND($D28&gt;=0,$D28&lt;=1),0,1),1)),IF($D29="",0,IF(ISNUMBER($D29),IF(AND($D29&gt;=0,$D29&lt;=1),0,1),1)),IF($D33="",0,IF(ISNUMBER($D33),IF(AND($D33&gt;=0,$D33&lt;=1),0,1),1)),IF($D34="",0,IF(ISNUMBER($D34),IF(AND($D34&gt;=0,$D34&lt;=1),0,1),1)),IF($D35="",0,IF(ISNUMBER($D35),IF(AND($D35&gt;=0,$D35&lt;=1),0,1),1)),IF($D36="",0,IF(ISNUMBER($D36),IF(AND($D36&gt;=0,$D36&lt;=1),0,1),1)),IF($D39="",0,IF(ISNUMBER($D39),IF(AND($D39&gt;=0,$D39&lt;=1),0,1),1)),IF($D40="",0,IF(ISNUMBER($D40),IF(AND($D40&gt;=0,$D40&lt;=1),0,1),1)),IF($D53="",0,IF(ISNUMBER($D53),IF(AND($D53&gt;=0,$D53&lt;=1),0,1),1)),IF($D54="",0,IF(ISNUMBER($D54),IF(AND($D54&gt;=0,$D54&lt;=1),0,1),1)),IF($D55="",0,IF(ISNUMBER($D55),IF(AND($D55&gt;=0,$D55&lt;=1),0,1),1)),IF($D56="",0,IF(ISNUMBER($D56),IF(AND($D56&gt;=0,$D56&lt;=1),0,1),1)),IF($D57="",0,IF(ISNUMBER($D57),IF(AND($D57&gt;=0,$D57&lt;=1),0,1),1)),IF($D58="",0,IF(ISNUMBER($D58),IF(AND($D58&gt;=0,$D58&lt;=1),0,1),1)),IF($D61="",0,IF(ISNUMBER($D61),IF(AND($D61&gt;=0,$D61&lt;=1),0,1),1)),IF($D62="",0,IF(ISNUMBER($D62),IF(AND($D62&gt;=0,$D62&lt;=1),0,1),1)),IF($D63="",0,IF(ISNUMBER($D63),IF(AND($D63&gt;=0,$D63&lt;=1),0,1),1)),IF($D64="",0,IF(ISNUMBER($D64),IF(AND($D64&gt;=0,$D64&lt;=1),0,1),1)),IF($D65="",0,IF(ISNUMBER($D65),IF(AND($D65&gt;=0,$D65&lt;=1),0,1),1)),IF($D66="",0,IF(ISNUMBER($D66),IF(AND($D66&gt;=0,$D66&lt;=1),0,1),1)),IF($D67="",0,IF(ISNUMBER($D67),IF(AND($D67&gt;=0,$D67&lt;=1),0,1),1)),IF($D68="",0,IF(ISNUMBER($D68),IF(AND($D68&gt;=0,$D68&lt;=1),0,1),1)),IF($D69="",0,IF(ISNUMBER($D69),IF(AND($D69&gt;=0,$D69&lt;=1),0,1),1)),IF($D70="",0,IF(ISNUMBER($D70),IF(AND($D70&gt;=0,$D70&lt;=1),0,1),1)),IF($D71="",0,IF(ISNUMBER($D71),IF(AND($D71&gt;=0,$D71&lt;=1),0,1),1)))</f>
        <v>0</v>
      </c>
      <c r="F388">
        <f t="shared" si="70"/>
        <v>0</v>
      </c>
      <c r="G388">
        <f t="shared" si="70"/>
        <v>0</v>
      </c>
      <c r="H388">
        <f t="shared" si="70"/>
        <v>0</v>
      </c>
      <c r="I388">
        <f t="shared" si="70"/>
        <v>0</v>
      </c>
      <c r="J388">
        <f t="shared" si="70"/>
        <v>0</v>
      </c>
      <c r="K388">
        <f t="shared" si="70"/>
        <v>0</v>
      </c>
      <c r="L388">
        <f t="shared" si="70"/>
        <v>0</v>
      </c>
      <c r="M388">
        <f t="shared" si="70"/>
        <v>0</v>
      </c>
      <c r="N388">
        <f t="shared" si="70"/>
        <v>0</v>
      </c>
      <c r="O388">
        <f t="shared" si="70"/>
        <v>0</v>
      </c>
      <c r="P388">
        <f t="shared" si="70"/>
        <v>0</v>
      </c>
      <c r="Q388">
        <f t="shared" si="70"/>
        <v>0</v>
      </c>
      <c r="R388">
        <f t="shared" si="70"/>
        <v>0</v>
      </c>
      <c r="S388">
        <f t="shared" si="70"/>
        <v>0</v>
      </c>
      <c r="T388">
        <f t="shared" si="70"/>
        <v>0</v>
      </c>
      <c r="U388">
        <f t="shared" si="70"/>
        <v>0</v>
      </c>
      <c r="V388">
        <f t="shared" si="70"/>
        <v>0</v>
      </c>
      <c r="W388">
        <f t="shared" si="70"/>
        <v>0</v>
      </c>
      <c r="X388">
        <f t="shared" si="70"/>
        <v>0</v>
      </c>
      <c r="Y388">
        <f t="shared" si="70"/>
        <v>0</v>
      </c>
      <c r="Z388">
        <f t="shared" si="70"/>
        <v>0</v>
      </c>
      <c r="AA388">
        <f t="shared" si="70"/>
        <v>0</v>
      </c>
      <c r="AB388">
        <f t="shared" si="70"/>
        <v>0</v>
      </c>
      <c r="AC388">
        <f t="shared" si="70"/>
        <v>0</v>
      </c>
      <c r="AD388">
        <f t="shared" si="70"/>
        <v>0</v>
      </c>
      <c r="AE388">
        <f t="shared" si="70"/>
        <v>0</v>
      </c>
      <c r="AF388">
        <f t="shared" si="70"/>
        <v>0</v>
      </c>
      <c r="AG388">
        <f t="shared" si="70"/>
        <v>0</v>
      </c>
      <c r="AH388">
        <f t="shared" si="70"/>
        <v>0</v>
      </c>
      <c r="AI388">
        <f t="shared" si="70"/>
        <v>0</v>
      </c>
      <c r="AJ388">
        <f t="shared" si="70"/>
        <v>0</v>
      </c>
      <c r="AK388">
        <f t="shared" ref="AK388:BL388" si="71">SUM(IF($D14="",0,IF(ISNUMBER($D14),IF(AND($D14&gt;=0,$D14&lt;=1),0,1),1)),IF($D15="",0,IF(ISNUMBER($D15),IF(AND($D15&gt;=0,$D15&lt;=1),0,1),1)),IF($D16="",0,IF(ISNUMBER($D16),IF(AND($D16&gt;=0,$D16&lt;=1),0,1),1)),IF($D17="",0,IF(ISNUMBER($D17),IF(AND($D17&gt;=0,$D17&lt;=1),0,1),1)),IF($D18="",0,IF(ISNUMBER($D18),IF(AND($D18&gt;=0,$D18&lt;=1),0,1),1)),IF($D21="",0,IF(ISNUMBER($D21),IF(AND($D21&gt;=0,$D21&lt;=1),0,1),1)),IF($D22="",0,IF(ISNUMBER($D22),IF(AND($D22&gt;=0,$D22&lt;=1),0,1),1)),IF($D23="",0,IF(ISNUMBER($D23),IF(AND($D23&gt;=0,$D23&lt;=1),0,1),1)),IF($D24="",0,IF(ISNUMBER($D24),IF(AND($D24&gt;=0,$D24&lt;=1),0,1),1)),IF($D27="",0,IF(ISNUMBER($D27),IF(AND($D27&gt;=0,$D27&lt;=1),0,1),1)),IF($D28="",0,IF(ISNUMBER($D28),IF(AND($D28&gt;=0,$D28&lt;=1),0,1),1)),IF($D29="",0,IF(ISNUMBER($D29),IF(AND($D29&gt;=0,$D29&lt;=1),0,1),1)),IF($D33="",0,IF(ISNUMBER($D33),IF(AND($D33&gt;=0,$D33&lt;=1),0,1),1)),IF($D34="",0,IF(ISNUMBER($D34),IF(AND($D34&gt;=0,$D34&lt;=1),0,1),1)),IF($D35="",0,IF(ISNUMBER($D35),IF(AND($D35&gt;=0,$D35&lt;=1),0,1),1)),IF($D36="",0,IF(ISNUMBER($D36),IF(AND($D36&gt;=0,$D36&lt;=1),0,1),1)),IF($D39="",0,IF(ISNUMBER($D39),IF(AND($D39&gt;=0,$D39&lt;=1),0,1),1)),IF($D40="",0,IF(ISNUMBER($D40),IF(AND($D40&gt;=0,$D40&lt;=1),0,1),1)),IF($D53="",0,IF(ISNUMBER($D53),IF(AND($D53&gt;=0,$D53&lt;=1),0,1),1)),IF($D54="",0,IF(ISNUMBER($D54),IF(AND($D54&gt;=0,$D54&lt;=1),0,1),1)),IF($D55="",0,IF(ISNUMBER($D55),IF(AND($D55&gt;=0,$D55&lt;=1),0,1),1)),IF($D56="",0,IF(ISNUMBER($D56),IF(AND($D56&gt;=0,$D56&lt;=1),0,1),1)),IF($D57="",0,IF(ISNUMBER($D57),IF(AND($D57&gt;=0,$D57&lt;=1),0,1),1)),IF($D58="",0,IF(ISNUMBER($D58),IF(AND($D58&gt;=0,$D58&lt;=1),0,1),1)),IF($D61="",0,IF(ISNUMBER($D61),IF(AND($D61&gt;=0,$D61&lt;=1),0,1),1)),IF($D62="",0,IF(ISNUMBER($D62),IF(AND($D62&gt;=0,$D62&lt;=1),0,1),1)),IF($D63="",0,IF(ISNUMBER($D63),IF(AND($D63&gt;=0,$D63&lt;=1),0,1),1)),IF($D64="",0,IF(ISNUMBER($D64),IF(AND($D64&gt;=0,$D64&lt;=1),0,1),1)),IF($D65="",0,IF(ISNUMBER($D65),IF(AND($D65&gt;=0,$D65&lt;=1),0,1),1)),IF($D66="",0,IF(ISNUMBER($D66),IF(AND($D66&gt;=0,$D66&lt;=1),0,1),1)),IF($D67="",0,IF(ISNUMBER($D67),IF(AND($D67&gt;=0,$D67&lt;=1),0,1),1)),IF($D68="",0,IF(ISNUMBER($D68),IF(AND($D68&gt;=0,$D68&lt;=1),0,1),1)),IF($D69="",0,IF(ISNUMBER($D69),IF(AND($D69&gt;=0,$D69&lt;=1),0,1),1)),IF($D70="",0,IF(ISNUMBER($D70),IF(AND($D70&gt;=0,$D70&lt;=1),0,1),1)),IF($D71="",0,IF(ISNUMBER($D71),IF(AND($D71&gt;=0,$D71&lt;=1),0,1),1)))</f>
        <v>0</v>
      </c>
      <c r="AL388">
        <f t="shared" si="71"/>
        <v>0</v>
      </c>
      <c r="AM388">
        <f t="shared" si="71"/>
        <v>0</v>
      </c>
      <c r="AN388">
        <f t="shared" si="71"/>
        <v>0</v>
      </c>
      <c r="AO388">
        <f t="shared" si="71"/>
        <v>0</v>
      </c>
      <c r="AP388">
        <f t="shared" si="71"/>
        <v>0</v>
      </c>
      <c r="AQ388">
        <f t="shared" si="71"/>
        <v>0</v>
      </c>
      <c r="AR388">
        <f t="shared" si="71"/>
        <v>0</v>
      </c>
      <c r="AS388">
        <f t="shared" si="71"/>
        <v>0</v>
      </c>
      <c r="AT388">
        <f t="shared" si="71"/>
        <v>0</v>
      </c>
      <c r="AU388">
        <f t="shared" si="71"/>
        <v>0</v>
      </c>
      <c r="AV388">
        <f t="shared" si="71"/>
        <v>0</v>
      </c>
      <c r="AW388">
        <f t="shared" si="71"/>
        <v>0</v>
      </c>
      <c r="AX388">
        <f t="shared" si="71"/>
        <v>0</v>
      </c>
      <c r="AY388">
        <f t="shared" si="71"/>
        <v>0</v>
      </c>
      <c r="AZ388">
        <f t="shared" si="71"/>
        <v>0</v>
      </c>
      <c r="BA388">
        <f t="shared" si="71"/>
        <v>0</v>
      </c>
      <c r="BB388">
        <f t="shared" si="71"/>
        <v>0</v>
      </c>
      <c r="BC388">
        <f t="shared" si="71"/>
        <v>0</v>
      </c>
      <c r="BD388">
        <f t="shared" si="71"/>
        <v>0</v>
      </c>
      <c r="BE388">
        <f t="shared" si="71"/>
        <v>0</v>
      </c>
      <c r="BF388">
        <f t="shared" si="71"/>
        <v>0</v>
      </c>
      <c r="BG388">
        <f t="shared" si="71"/>
        <v>0</v>
      </c>
      <c r="BH388">
        <f t="shared" si="71"/>
        <v>0</v>
      </c>
      <c r="BI388">
        <f t="shared" si="71"/>
        <v>0</v>
      </c>
      <c r="BJ388">
        <f t="shared" si="71"/>
        <v>0</v>
      </c>
      <c r="BK388">
        <f t="shared" si="71"/>
        <v>0</v>
      </c>
      <c r="BL388">
        <f t="shared" si="71"/>
        <v>0</v>
      </c>
    </row>
    <row r="389" spans="2:64" hidden="1" x14ac:dyDescent="0.35">
      <c r="B389" t="s">
        <v>145</v>
      </c>
      <c r="E389">
        <f t="shared" ref="E389:AJ389" si="72">SUM(IF($D30="",0,IF(ISNUMBER($D30),IF(AND($D30&gt;=0,$D30&lt;=1),0,1),1)),IF(E30="",0,IF(ISNUMBER(E30),IF(E30&lt;0,1,0),1)),IF(E30="",0,IF(OR($C30="USD",$C30="EGP"),0,1)),IF(AND(ISNUMBER(E30),E30&gt;0,$C30&lt;&gt;$C$7),IF(AND(ISNUMBER(E$11),E$11&gt;0),0,1),0))</f>
        <v>0</v>
      </c>
      <c r="F389">
        <f t="shared" si="72"/>
        <v>0</v>
      </c>
      <c r="G389">
        <f t="shared" si="72"/>
        <v>0</v>
      </c>
      <c r="H389">
        <f t="shared" si="72"/>
        <v>0</v>
      </c>
      <c r="I389">
        <f t="shared" si="72"/>
        <v>0</v>
      </c>
      <c r="J389">
        <f t="shared" si="72"/>
        <v>0</v>
      </c>
      <c r="K389">
        <f t="shared" si="72"/>
        <v>0</v>
      </c>
      <c r="L389">
        <f t="shared" si="72"/>
        <v>0</v>
      </c>
      <c r="M389">
        <f t="shared" si="72"/>
        <v>0</v>
      </c>
      <c r="N389">
        <f t="shared" si="72"/>
        <v>0</v>
      </c>
      <c r="O389">
        <f t="shared" si="72"/>
        <v>0</v>
      </c>
      <c r="P389">
        <f t="shared" si="72"/>
        <v>0</v>
      </c>
      <c r="Q389">
        <f t="shared" si="72"/>
        <v>0</v>
      </c>
      <c r="R389">
        <f t="shared" si="72"/>
        <v>0</v>
      </c>
      <c r="S389">
        <f t="shared" si="72"/>
        <v>0</v>
      </c>
      <c r="T389">
        <f t="shared" si="72"/>
        <v>0</v>
      </c>
      <c r="U389">
        <f t="shared" si="72"/>
        <v>0</v>
      </c>
      <c r="V389">
        <f t="shared" si="72"/>
        <v>0</v>
      </c>
      <c r="W389">
        <f t="shared" si="72"/>
        <v>0</v>
      </c>
      <c r="X389">
        <f t="shared" si="72"/>
        <v>0</v>
      </c>
      <c r="Y389">
        <f t="shared" si="72"/>
        <v>0</v>
      </c>
      <c r="Z389">
        <f t="shared" si="72"/>
        <v>0</v>
      </c>
      <c r="AA389">
        <f t="shared" si="72"/>
        <v>0</v>
      </c>
      <c r="AB389">
        <f t="shared" si="72"/>
        <v>0</v>
      </c>
      <c r="AC389">
        <f t="shared" si="72"/>
        <v>0</v>
      </c>
      <c r="AD389">
        <f t="shared" si="72"/>
        <v>0</v>
      </c>
      <c r="AE389">
        <f t="shared" si="72"/>
        <v>0</v>
      </c>
      <c r="AF389">
        <f t="shared" si="72"/>
        <v>0</v>
      </c>
      <c r="AG389">
        <f t="shared" si="72"/>
        <v>0</v>
      </c>
      <c r="AH389">
        <f t="shared" si="72"/>
        <v>0</v>
      </c>
      <c r="AI389">
        <f t="shared" si="72"/>
        <v>0</v>
      </c>
      <c r="AJ389">
        <f t="shared" si="72"/>
        <v>0</v>
      </c>
      <c r="AK389">
        <f t="shared" ref="AK389:BL389" si="73">SUM(IF($D30="",0,IF(ISNUMBER($D30),IF(AND($D30&gt;=0,$D30&lt;=1),0,1),1)),IF(AK30="",0,IF(ISNUMBER(AK30),IF(AK30&lt;0,1,0),1)),IF(AK30="",0,IF(OR($C30="USD",$C30="EGP"),0,1)),IF(AND(ISNUMBER(AK30),AK30&gt;0,$C30&lt;&gt;$C$7),IF(AND(ISNUMBER(AK$11),AK$11&gt;0),0,1),0))</f>
        <v>0</v>
      </c>
      <c r="AL389">
        <f t="shared" si="73"/>
        <v>0</v>
      </c>
      <c r="AM389">
        <f t="shared" si="73"/>
        <v>0</v>
      </c>
      <c r="AN389">
        <f t="shared" si="73"/>
        <v>0</v>
      </c>
      <c r="AO389">
        <f t="shared" si="73"/>
        <v>0</v>
      </c>
      <c r="AP389">
        <f t="shared" si="73"/>
        <v>0</v>
      </c>
      <c r="AQ389">
        <f t="shared" si="73"/>
        <v>0</v>
      </c>
      <c r="AR389">
        <f t="shared" si="73"/>
        <v>0</v>
      </c>
      <c r="AS389">
        <f t="shared" si="73"/>
        <v>0</v>
      </c>
      <c r="AT389">
        <f t="shared" si="73"/>
        <v>0</v>
      </c>
      <c r="AU389">
        <f t="shared" si="73"/>
        <v>0</v>
      </c>
      <c r="AV389">
        <f t="shared" si="73"/>
        <v>0</v>
      </c>
      <c r="AW389">
        <f t="shared" si="73"/>
        <v>0</v>
      </c>
      <c r="AX389">
        <f t="shared" si="73"/>
        <v>0</v>
      </c>
      <c r="AY389">
        <f t="shared" si="73"/>
        <v>0</v>
      </c>
      <c r="AZ389">
        <f t="shared" si="73"/>
        <v>0</v>
      </c>
      <c r="BA389">
        <f t="shared" si="73"/>
        <v>0</v>
      </c>
      <c r="BB389">
        <f t="shared" si="73"/>
        <v>0</v>
      </c>
      <c r="BC389">
        <f t="shared" si="73"/>
        <v>0</v>
      </c>
      <c r="BD389">
        <f t="shared" si="73"/>
        <v>0</v>
      </c>
      <c r="BE389">
        <f t="shared" si="73"/>
        <v>0</v>
      </c>
      <c r="BF389">
        <f t="shared" si="73"/>
        <v>0</v>
      </c>
      <c r="BG389">
        <f t="shared" si="73"/>
        <v>0</v>
      </c>
      <c r="BH389">
        <f t="shared" si="73"/>
        <v>0</v>
      </c>
      <c r="BI389">
        <f t="shared" si="73"/>
        <v>0</v>
      </c>
      <c r="BJ389">
        <f t="shared" si="73"/>
        <v>0</v>
      </c>
      <c r="BK389">
        <f t="shared" si="73"/>
        <v>0</v>
      </c>
      <c r="BL389">
        <f t="shared" si="73"/>
        <v>0</v>
      </c>
    </row>
    <row r="390" spans="2:64" hidden="1" x14ac:dyDescent="0.35"/>
    <row r="391" spans="2:64" hidden="1" x14ac:dyDescent="0.35">
      <c r="B391" t="s">
        <v>146</v>
      </c>
      <c r="E391">
        <f t="shared" ref="E391:AJ391" si="74">SUM(IF(E14="",0,IF(OR($C14="USD",$C14="EGP"),0,1)),IF(E15="",0,IF(OR($C15="USD",$C15="EGP"),0,1)),IF(E16="",0,IF(OR($C16="USD",$C16="EGP"),0,1)),IF(E17="",0,IF(OR($C17="USD",$C17="EGP"),0,1)),IF(E18="",0,IF(OR($C18="USD",$C18="EGP"),0,1)),IF(E21="",0,IF(OR($C21="USD",$C21="EGP"),0,1)),IF(E22="",0,IF(OR($C22="USD",$C22="EGP"),0,1)),IF(E23="",0,IF(OR($C23="USD",$C23="EGP"),0,1)),IF(E24="",0,IF(OR($C24="USD",$C24="EGP"),0,1)),IF(E27="",0,IF(OR($C27="USD",$C27="EGP"),0,1)),IF(E28="",0,IF(OR($C28="USD",$C28="EGP"),0,1)),IF(E29="",0,IF(OR($C29="USD",$C29="EGP"),0,1)),IF(E33="",0,IF(OR($C33="USD",$C33="EGP"),0,1)),IF(E34="",0,IF(OR($C34="USD",$C34="EGP"),0,1)),IF(E35="",0,IF(OR($C35="USD",$C35="EGP"),0,1)),IF(E36="",0,IF(OR($C36="USD",$C36="EGP"),0,1)),IF(E39="",0,IF(OR($C39="USD",$C39="EGP"),0,1)),IF(E40="",0,IF(OR($C40="USD",$C40="EGP"),0,1)),IF(E43="",0,IF(OR($C43="USD",$C43="EGP"),0,1)),IF(E44="",0,IF(OR($C44="USD",$C44="EGP"),0,1)),IF(E45="",0,IF(OR($C45="USD",$C45="EGP"),0,1)),IF(E46="",0,IF(OR($C46="USD",$C46="EGP"),0,1)),IF(E47="",0,IF(OR($C47="USD",$C47="EGP"),0,1)),IF(E48="",0,IF(OR($C48="USD",$C48="EGP"),0,1)),IF(E49="",0,IF(OR($C49="USD",$C49="EGP"),0,1)),IF(E50="",0,IF(OR($C50="USD",$C50="EGP"),0,1)),IF(E53="",0,IF(OR($C53="USD",$C53="EGP"),0,1)),IF(E54="",0,IF(OR($C54="USD",$C54="EGP"),0,1)),IF(E55="",0,IF(OR($C55="USD",$C55="EGP"),0,1)),IF(E56="",0,IF(OR($C56="USD",$C56="EGP"),0,1)),IF(E57="",0,IF(OR($C57="USD",$C57="EGP"),0,1)),IF(E58="",0,IF(OR($C58="USD",$C58="EGP"),0,1)),IF(E61="",0,IF(OR($C61="USD",$C61="EGP"),0,1)),IF(E62="",0,IF(OR($C62="USD",$C62="EGP"),0,1)),IF(E63="",0,IF(OR($C63="USD",$C63="EGP"),0,1)),IF(E64="",0,IF(OR($C64="USD",$C64="EGP"),0,1)),IF(E65="",0,IF(OR($C65="USD",$C65="EGP"),0,1)),IF(E66="",0,IF(OR($C66="USD",$C66="EGP"),0,1)),IF(E67="",0,IF(OR($C67="USD",$C67="EGP"),0,1)),IF(E68="",0,IF(OR($C68="USD",$C68="EGP"),0,1)),IF(E69="",0,IF(OR($C69="USD",$C69="EGP"),0,1)),IF(E70="",0,IF(OR($C70="USD",$C70="EGP"),0,1)),IF(E71="",0,IF(OR($C71="USD",$C71="EGP"),0,1)),IF(E74="",0,IF(OR($C74="USD",$C74="EGP"),0,1)),IF(E75="",0,IF(OR($C75="USD",$C75="EGP"),0,1)),IF(E76="",0,IF(OR($C76="USD",$C76="EGP"),0,1)),IF(E77="",0,IF(OR($C77="USD",$C77="EGP"),0,1)),IF(E78="",0,IF(OR($C78="USD",$C78="EGP"),0,1)),IF(E79="",0,IF(OR($C79="USD",$C79="EGP"),0,1)),IF(E80="",0,IF(OR($C80="USD",$C80="EGP"),0,1)),IF(E81="",0,IF(OR($C81="USD",$C81="EGP"),0,1)))</f>
        <v>0</v>
      </c>
      <c r="F391">
        <f t="shared" si="74"/>
        <v>0</v>
      </c>
      <c r="G391">
        <f t="shared" si="74"/>
        <v>0</v>
      </c>
      <c r="H391">
        <f t="shared" si="74"/>
        <v>0</v>
      </c>
      <c r="I391">
        <f t="shared" si="74"/>
        <v>0</v>
      </c>
      <c r="J391">
        <f t="shared" si="74"/>
        <v>0</v>
      </c>
      <c r="K391">
        <f t="shared" si="74"/>
        <v>0</v>
      </c>
      <c r="L391">
        <f t="shared" si="74"/>
        <v>0</v>
      </c>
      <c r="M391">
        <f t="shared" si="74"/>
        <v>0</v>
      </c>
      <c r="N391">
        <f t="shared" si="74"/>
        <v>0</v>
      </c>
      <c r="O391">
        <f t="shared" si="74"/>
        <v>0</v>
      </c>
      <c r="P391">
        <f t="shared" si="74"/>
        <v>0</v>
      </c>
      <c r="Q391">
        <f t="shared" si="74"/>
        <v>0</v>
      </c>
      <c r="R391">
        <f t="shared" si="74"/>
        <v>0</v>
      </c>
      <c r="S391">
        <f t="shared" si="74"/>
        <v>0</v>
      </c>
      <c r="T391">
        <f t="shared" si="74"/>
        <v>0</v>
      </c>
      <c r="U391">
        <f t="shared" si="74"/>
        <v>0</v>
      </c>
      <c r="V391">
        <f t="shared" si="74"/>
        <v>0</v>
      </c>
      <c r="W391">
        <f t="shared" si="74"/>
        <v>0</v>
      </c>
      <c r="X391">
        <f t="shared" si="74"/>
        <v>0</v>
      </c>
      <c r="Y391">
        <f t="shared" si="74"/>
        <v>0</v>
      </c>
      <c r="Z391">
        <f t="shared" si="74"/>
        <v>0</v>
      </c>
      <c r="AA391">
        <f t="shared" si="74"/>
        <v>0</v>
      </c>
      <c r="AB391">
        <f t="shared" si="74"/>
        <v>0</v>
      </c>
      <c r="AC391">
        <f t="shared" si="74"/>
        <v>0</v>
      </c>
      <c r="AD391">
        <f t="shared" si="74"/>
        <v>0</v>
      </c>
      <c r="AE391">
        <f t="shared" si="74"/>
        <v>0</v>
      </c>
      <c r="AF391">
        <f t="shared" si="74"/>
        <v>0</v>
      </c>
      <c r="AG391">
        <f t="shared" si="74"/>
        <v>0</v>
      </c>
      <c r="AH391">
        <f t="shared" si="74"/>
        <v>0</v>
      </c>
      <c r="AI391">
        <f t="shared" si="74"/>
        <v>0</v>
      </c>
      <c r="AJ391">
        <f t="shared" si="74"/>
        <v>0</v>
      </c>
      <c r="AK391">
        <f t="shared" ref="AK391:BL391" si="75">SUM(IF(AK14="",0,IF(OR($C14="USD",$C14="EGP"),0,1)),IF(AK15="",0,IF(OR($C15="USD",$C15="EGP"),0,1)),IF(AK16="",0,IF(OR($C16="USD",$C16="EGP"),0,1)),IF(AK17="",0,IF(OR($C17="USD",$C17="EGP"),0,1)),IF(AK18="",0,IF(OR($C18="USD",$C18="EGP"),0,1)),IF(AK21="",0,IF(OR($C21="USD",$C21="EGP"),0,1)),IF(AK22="",0,IF(OR($C22="USD",$C22="EGP"),0,1)),IF(AK23="",0,IF(OR($C23="USD",$C23="EGP"),0,1)),IF(AK24="",0,IF(OR($C24="USD",$C24="EGP"),0,1)),IF(AK27="",0,IF(OR($C27="USD",$C27="EGP"),0,1)),IF(AK28="",0,IF(OR($C28="USD",$C28="EGP"),0,1)),IF(AK29="",0,IF(OR($C29="USD",$C29="EGP"),0,1)),IF(AK33="",0,IF(OR($C33="USD",$C33="EGP"),0,1)),IF(AK34="",0,IF(OR($C34="USD",$C34="EGP"),0,1)),IF(AK35="",0,IF(OR($C35="USD",$C35="EGP"),0,1)),IF(AK36="",0,IF(OR($C36="USD",$C36="EGP"),0,1)),IF(AK39="",0,IF(OR($C39="USD",$C39="EGP"),0,1)),IF(AK40="",0,IF(OR($C40="USD",$C40="EGP"),0,1)),IF(AK43="",0,IF(OR($C43="USD",$C43="EGP"),0,1)),IF(AK44="",0,IF(OR($C44="USD",$C44="EGP"),0,1)),IF(AK45="",0,IF(OR($C45="USD",$C45="EGP"),0,1)),IF(AK46="",0,IF(OR($C46="USD",$C46="EGP"),0,1)),IF(AK47="",0,IF(OR($C47="USD",$C47="EGP"),0,1)),IF(AK48="",0,IF(OR($C48="USD",$C48="EGP"),0,1)),IF(AK49="",0,IF(OR($C49="USD",$C49="EGP"),0,1)),IF(AK50="",0,IF(OR($C50="USD",$C50="EGP"),0,1)),IF(AK53="",0,IF(OR($C53="USD",$C53="EGP"),0,1)),IF(AK54="",0,IF(OR($C54="USD",$C54="EGP"),0,1)),IF(AK55="",0,IF(OR($C55="USD",$C55="EGP"),0,1)),IF(AK56="",0,IF(OR($C56="USD",$C56="EGP"),0,1)),IF(AK57="",0,IF(OR($C57="USD",$C57="EGP"),0,1)),IF(AK58="",0,IF(OR($C58="USD",$C58="EGP"),0,1)),IF(AK61="",0,IF(OR($C61="USD",$C61="EGP"),0,1)),IF(AK62="",0,IF(OR($C62="USD",$C62="EGP"),0,1)),IF(AK63="",0,IF(OR($C63="USD",$C63="EGP"),0,1)),IF(AK64="",0,IF(OR($C64="USD",$C64="EGP"),0,1)),IF(AK65="",0,IF(OR($C65="USD",$C65="EGP"),0,1)),IF(AK66="",0,IF(OR($C66="USD",$C66="EGP"),0,1)),IF(AK67="",0,IF(OR($C67="USD",$C67="EGP"),0,1)),IF(AK68="",0,IF(OR($C68="USD",$C68="EGP"),0,1)),IF(AK69="",0,IF(OR($C69="USD",$C69="EGP"),0,1)),IF(AK70="",0,IF(OR($C70="USD",$C70="EGP"),0,1)),IF(AK71="",0,IF(OR($C71="USD",$C71="EGP"),0,1)),IF(AK74="",0,IF(OR($C74="USD",$C74="EGP"),0,1)),IF(AK75="",0,IF(OR($C75="USD",$C75="EGP"),0,1)),IF(AK76="",0,IF(OR($C76="USD",$C76="EGP"),0,1)),IF(AK77="",0,IF(OR($C77="USD",$C77="EGP"),0,1)),IF(AK78="",0,IF(OR($C78="USD",$C78="EGP"),0,1)),IF(AK79="",0,IF(OR($C79="USD",$C79="EGP"),0,1)),IF(AK80="",0,IF(OR($C80="USD",$C80="EGP"),0,1)),IF(AK81="",0,IF(OR($C81="USD",$C81="EGP"),0,1)))</f>
        <v>0</v>
      </c>
      <c r="AL391">
        <f t="shared" si="75"/>
        <v>0</v>
      </c>
      <c r="AM391">
        <f t="shared" si="75"/>
        <v>0</v>
      </c>
      <c r="AN391">
        <f t="shared" si="75"/>
        <v>0</v>
      </c>
      <c r="AO391">
        <f t="shared" si="75"/>
        <v>0</v>
      </c>
      <c r="AP391">
        <f t="shared" si="75"/>
        <v>0</v>
      </c>
      <c r="AQ391">
        <f t="shared" si="75"/>
        <v>0</v>
      </c>
      <c r="AR391">
        <f t="shared" si="75"/>
        <v>0</v>
      </c>
      <c r="AS391">
        <f t="shared" si="75"/>
        <v>0</v>
      </c>
      <c r="AT391">
        <f t="shared" si="75"/>
        <v>0</v>
      </c>
      <c r="AU391">
        <f t="shared" si="75"/>
        <v>0</v>
      </c>
      <c r="AV391">
        <f t="shared" si="75"/>
        <v>0</v>
      </c>
      <c r="AW391">
        <f t="shared" si="75"/>
        <v>0</v>
      </c>
      <c r="AX391">
        <f t="shared" si="75"/>
        <v>0</v>
      </c>
      <c r="AY391">
        <f t="shared" si="75"/>
        <v>0</v>
      </c>
      <c r="AZ391">
        <f t="shared" si="75"/>
        <v>0</v>
      </c>
      <c r="BA391">
        <f t="shared" si="75"/>
        <v>0</v>
      </c>
      <c r="BB391">
        <f t="shared" si="75"/>
        <v>0</v>
      </c>
      <c r="BC391">
        <f t="shared" si="75"/>
        <v>0</v>
      </c>
      <c r="BD391">
        <f t="shared" si="75"/>
        <v>0</v>
      </c>
      <c r="BE391">
        <f t="shared" si="75"/>
        <v>0</v>
      </c>
      <c r="BF391">
        <f t="shared" si="75"/>
        <v>0</v>
      </c>
      <c r="BG391">
        <f t="shared" si="75"/>
        <v>0</v>
      </c>
      <c r="BH391">
        <f t="shared" si="75"/>
        <v>0</v>
      </c>
      <c r="BI391">
        <f t="shared" si="75"/>
        <v>0</v>
      </c>
      <c r="BJ391">
        <f t="shared" si="75"/>
        <v>0</v>
      </c>
      <c r="BK391">
        <f t="shared" si="75"/>
        <v>0</v>
      </c>
      <c r="BL391">
        <f t="shared" si="75"/>
        <v>0</v>
      </c>
    </row>
  </sheetData>
  <mergeCells count="23">
    <mergeCell ref="B5:BL5"/>
    <mergeCell ref="B20:BL20"/>
    <mergeCell ref="B85:BL85"/>
    <mergeCell ref="B88:N88"/>
    <mergeCell ref="B32:BL32"/>
    <mergeCell ref="B26:BL26"/>
    <mergeCell ref="B8:L8"/>
    <mergeCell ref="B73:BL73"/>
    <mergeCell ref="B13:BL13"/>
    <mergeCell ref="B38:BL38"/>
    <mergeCell ref="BA9:BL9"/>
    <mergeCell ref="B11:D11"/>
    <mergeCell ref="B83:N83"/>
    <mergeCell ref="E9:P9"/>
    <mergeCell ref="B87:D87"/>
    <mergeCell ref="B52:BL52"/>
    <mergeCell ref="B42:BL42"/>
    <mergeCell ref="B9:D9"/>
    <mergeCell ref="B60:BL60"/>
    <mergeCell ref="Q9:AB9"/>
    <mergeCell ref="AC9:AN9"/>
    <mergeCell ref="AO9:AZ9"/>
    <mergeCell ref="B86:D86"/>
  </mergeCells>
  <dataValidations count="6">
    <dataValidation type="list" showErrorMessage="1" errorTitle="Check this input" error="Choose USD or EGP." sqref="C7 C14 C15 C16 C17 C18 C21 C22 C23 C24 C27 C28 C29 C30 C33 C34 C35 C36 C39 C40 C43 C44 C45 C46 C47 C48 C49 C50 C53 C54 C55 C56 C57 C58 C61 C62 C63 C64 C65 C66 C67 C68 C69 C70 C71 C74 C75 C76 C77 C78 C79 C80 C81" xr:uid="{00000000-0002-0000-0100-000000000000}">
      <formula1>"USD,EGP"</formula1>
    </dataValidation>
    <dataValidation type="decimal" operator="greaterThanOrEqual" allowBlank="1" showErrorMessage="1" errorTitle="Check this input" error="Enter 0 or more. Record borrowing under Loans &amp; Debts." sqref="E14:BL14 E15:BL15 E16:BL16 E17:BL17 E18:BL18 E21:BL21 E22:BL22 E23:BL23 E24:BL24 E27:BL27 E28:BL28 E29:BL29 E30:BL30 E33:BL33 E34:BL34 E35:BL35 E36:BL36 E39:BL39 E40:BL40 E43:BL43 E44:BL44 E45:BL45 E46:BL46 E47:BL47 E48:BL48 E49:BL49 E50:BL50 E53:BL53 E54:BL54 E55:BL55 E56:BL56 E57:BL57 E58:BL58 E61:BL61 E62:BL62 E63:BL63 E64:BL64 E65:BL65 E66:BL66 E67:BL67 E68:BL68 E69:BL69 E70:BL70 E71:BL71 E74:BL74 E75:BL75 E76:BL76 E77:BL77 E78:BL78 E79:BL79 E80:BL80 E81:BL81" xr:uid="{00000000-0002-0000-0100-000001000000}">
      <formula1>0</formula1>
    </dataValidation>
    <dataValidation type="decimal" allowBlank="1" showErrorMessage="1" errorTitle="Check this input" error="Enter 0% to 100%. Blank: owned assets 100%; unvested RSUs 0%." sqref="D14 D15 D16 D17 D18 D21 D22 D23 D24 D27 D28 D29 D30 D33 D34 D35 D36 D39 D40 D53 D54 D55 D56 D57 D58 D61 D62 D63 D64 D65 D66 D67 D68 D69 D70 D71" xr:uid="{00000000-0002-0000-0100-000002000000}">
      <formula1>0</formula1>
      <formula2>1</formula2>
    </dataValidation>
    <dataValidation type="decimal" operator="equal" allowBlank="1" showErrorMessage="1" errorTitle="Check this input" error="Leave blank. Debts are always deducted in full." sqref="D43 D44 D45 D46 D47 D48 D49 D50 D74 D75 D76 D77 D78 D79 D80 D81" xr:uid="{00000000-0002-0000-0100-000003000000}">
      <formula1>1</formula1>
    </dataValidation>
    <dataValidation type="decimal" operator="greaterThan" allowBlank="1" showErrorMessage="1" errorTitle="Check this input" error="Enter a positive number of EGP per 1 USD." sqref="E11:BL11" xr:uid="{00000000-0002-0000-0100-000004000000}">
      <formula1>0</formula1>
    </dataValidation>
    <dataValidation type="date" showErrorMessage="1" errorTitle="Check this input" error="Enter a valid first-month date before adding balances." sqref="E10" xr:uid="{00000000-0002-0000-0100-000005000000}">
      <formula1>DATE(1900,1,1)</formula1>
      <formula2>DATE(2095,12,31)</formula2>
    </dataValidation>
  </dataValidations>
  <printOptions horizontalCentered="1"/>
  <pageMargins left="0.75" right="0.75" top="1" bottom="1" header="0.5" footer="0.5"/>
  <pageSetup fitToWidth="3" fitToHeight="0"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42433"/>
    <pageSetUpPr fitToPage="1"/>
  </sheetPr>
  <dimension ref="A1:BA110"/>
  <sheetViews>
    <sheetView showGridLines="0" zoomScale="90" zoomScaleNormal="95" workbookViewId="0">
      <pane xSplit="1" ySplit="7" topLeftCell="B8" activePane="bottomRight" state="frozen"/>
      <selection pane="topRight"/>
      <selection pane="bottomLeft"/>
      <selection pane="bottomRight" activeCell="B5" sqref="B5"/>
    </sheetView>
  </sheetViews>
  <sheetFormatPr defaultRowHeight="14.5" x14ac:dyDescent="0.35"/>
  <cols>
    <col min="1" max="1" width="3" customWidth="1"/>
    <col min="2" max="15" width="13" customWidth="1"/>
    <col min="16" max="53" width="13" hidden="1" customWidth="1"/>
  </cols>
  <sheetData>
    <row r="1" spans="1:17" ht="2" hidden="1" customHeight="1" x14ac:dyDescent="0.35">
      <c r="A1" s="4"/>
      <c r="B1" s="4"/>
      <c r="C1" s="4"/>
      <c r="D1" s="4"/>
      <c r="E1" s="4"/>
      <c r="F1" s="4"/>
      <c r="G1" s="4"/>
      <c r="H1" s="4"/>
      <c r="I1" s="4"/>
      <c r="J1" s="4"/>
      <c r="K1" s="4"/>
      <c r="L1" s="4"/>
      <c r="M1" s="4"/>
      <c r="N1" s="4"/>
      <c r="O1" s="4"/>
    </row>
    <row r="2" spans="1:17" ht="2" hidden="1" customHeight="1" x14ac:dyDescent="0.35">
      <c r="A2" s="4"/>
      <c r="B2" s="25"/>
      <c r="C2" s="26"/>
      <c r="D2" s="26"/>
      <c r="E2" s="26"/>
      <c r="F2" s="26"/>
      <c r="G2" s="26"/>
      <c r="H2" s="26"/>
      <c r="I2" s="26"/>
      <c r="J2" s="26"/>
      <c r="K2" s="26"/>
      <c r="L2" s="26"/>
      <c r="M2" s="26"/>
      <c r="N2" s="27"/>
      <c r="O2" s="28"/>
      <c r="Q2">
        <f>MAX('My Finances'!E323*1,'My Finances'!F323*2,'My Finances'!G323*3,'My Finances'!H323*4,'My Finances'!I323*5,'My Finances'!J323*6,'My Finances'!K323*7,'My Finances'!L323*8,'My Finances'!M323*9,'My Finances'!N323*10,'My Finances'!O323*11,'My Finances'!P323*12,'My Finances'!Q323*13,'My Finances'!R323*14,'My Finances'!S323*15,'My Finances'!T323*16,'My Finances'!U323*17,'My Finances'!V323*18,'My Finances'!W323*19,'My Finances'!X323*20,'My Finances'!Y323*21,'My Finances'!Z323*22,'My Finances'!AA323*23,'My Finances'!AB323*24,'My Finances'!AC323*25,'My Finances'!AD323*26,'My Finances'!AE323*27,'My Finances'!AF323*28,'My Finances'!AG323*29,'My Finances'!AH323*30,'My Finances'!AI323*31,'My Finances'!AJ323*32,'My Finances'!AK323*33,'My Finances'!AL323*34,'My Finances'!AM323*35,'My Finances'!AN323*36,'My Finances'!AO323*37,'My Finances'!AP323*38,'My Finances'!AQ323*39,'My Finances'!AR323*40,'My Finances'!AS323*41,'My Finances'!AT323*42,'My Finances'!AU323*43,'My Finances'!AV323*44,'My Finances'!AW323*45,'My Finances'!AX323*46,'My Finances'!AY323*47,'My Finances'!AZ323*48,'My Finances'!BA323*49,'My Finances'!BB323*50,'My Finances'!BC323*51,'My Finances'!BD323*52,'My Finances'!BE323*53,'My Finances'!BF323*54,'My Finances'!BG323*55,'My Finances'!BH323*56,'My Finances'!BI323*57,'My Finances'!BJ323*58,'My Finances'!BK323*59,'My Finances'!BL323*60)</f>
        <v>0</v>
      </c>
    </row>
    <row r="3" spans="1:17" ht="2" hidden="1" customHeight="1" x14ac:dyDescent="0.35">
      <c r="A3" s="4"/>
      <c r="B3" s="29"/>
      <c r="C3" s="29"/>
      <c r="D3" s="29"/>
      <c r="E3" s="29"/>
      <c r="F3" s="29"/>
      <c r="G3" s="29"/>
      <c r="H3" s="29"/>
      <c r="I3" s="29"/>
      <c r="J3" s="29"/>
      <c r="K3" s="29"/>
      <c r="L3" s="29"/>
      <c r="M3" s="29"/>
      <c r="N3" s="1"/>
      <c r="O3" s="1"/>
      <c r="Q3">
        <f>SUM('My Finances'!E323:BL323)</f>
        <v>0</v>
      </c>
    </row>
    <row r="4" spans="1:17" ht="2" hidden="1" customHeight="1" x14ac:dyDescent="0.35">
      <c r="A4" s="4"/>
      <c r="B4" s="30"/>
      <c r="C4" s="31"/>
      <c r="D4" s="31"/>
      <c r="E4" s="31"/>
      <c r="F4" s="31"/>
      <c r="G4" s="31"/>
      <c r="H4" s="31"/>
      <c r="I4" s="31"/>
      <c r="J4" s="31"/>
      <c r="K4" s="31"/>
      <c r="L4" s="31"/>
      <c r="M4" s="31"/>
      <c r="N4" s="31"/>
      <c r="O4" s="32"/>
      <c r="Q4">
        <f>MAX('My Finances'!E387:BL387)</f>
        <v>0</v>
      </c>
    </row>
    <row r="5" spans="1:17" ht="52" customHeight="1" x14ac:dyDescent="0.35">
      <c r="A5" s="4"/>
      <c r="B5" s="101" t="s">
        <v>147</v>
      </c>
      <c r="C5" s="89"/>
      <c r="D5" s="89"/>
      <c r="E5" s="89"/>
      <c r="F5" s="89"/>
      <c r="G5" s="89"/>
      <c r="H5" s="89"/>
      <c r="I5" s="89"/>
      <c r="J5" s="89"/>
      <c r="K5" s="89"/>
      <c r="L5" s="89"/>
      <c r="M5" s="89"/>
      <c r="N5" s="89"/>
      <c r="O5" s="90"/>
    </row>
    <row r="6" spans="1:17" ht="3" customHeight="1" x14ac:dyDescent="0.35">
      <c r="A6" s="4"/>
      <c r="B6" s="63"/>
      <c r="C6" s="63"/>
      <c r="D6" s="63"/>
      <c r="E6" s="63"/>
      <c r="F6" s="63"/>
      <c r="G6" s="63"/>
      <c r="H6" s="63"/>
      <c r="I6" s="63"/>
      <c r="J6" s="63"/>
      <c r="K6" s="63"/>
      <c r="L6" s="63"/>
      <c r="M6" s="63"/>
      <c r="N6" s="63"/>
      <c r="O6" s="63"/>
    </row>
    <row r="7" spans="1:17" ht="23" customHeight="1" x14ac:dyDescent="0.35">
      <c r="A7" s="4"/>
      <c r="B7" s="122" t="str">
        <f>IF($Q$4=0,"Enter balances on My Finances to begin.",IF($Q$4&gt;$Q$2,IF($Q$2=0,"Check balances, currency and FX on My Finances.","Newest entries need checking; showing the last usable month."),"Your wealth, at a glance."))</f>
        <v>Enter balances on My Finances to begin.</v>
      </c>
      <c r="C7" s="75"/>
      <c r="D7" s="75"/>
      <c r="E7" s="75"/>
      <c r="F7" s="75"/>
      <c r="G7" s="75"/>
      <c r="H7" s="75"/>
      <c r="I7" s="75"/>
      <c r="J7" s="75"/>
      <c r="K7" s="81"/>
      <c r="L7" s="113" t="s">
        <v>148</v>
      </c>
      <c r="M7" s="114"/>
      <c r="N7" s="115" t="str">
        <f>'My Finances'!C7</f>
        <v>EGP</v>
      </c>
      <c r="O7" s="114"/>
    </row>
    <row r="8" spans="1:17" ht="5" customHeight="1" x14ac:dyDescent="0.35">
      <c r="A8" s="4"/>
      <c r="B8" s="6"/>
      <c r="C8" s="6"/>
      <c r="D8" s="6"/>
      <c r="E8" s="6"/>
      <c r="F8" s="6"/>
      <c r="G8" s="6"/>
      <c r="H8" s="6"/>
      <c r="I8" s="6"/>
      <c r="J8" s="6"/>
      <c r="K8" s="6"/>
      <c r="L8" s="24"/>
      <c r="M8" s="123"/>
      <c r="N8" s="103"/>
      <c r="O8" s="104"/>
    </row>
    <row r="9" spans="1:17" ht="4" customHeight="1" x14ac:dyDescent="0.35">
      <c r="A9" s="4"/>
      <c r="B9" s="6"/>
      <c r="C9" s="6"/>
      <c r="D9" s="6"/>
      <c r="E9" s="6"/>
      <c r="F9" s="6"/>
      <c r="G9" s="6"/>
      <c r="H9" s="6"/>
      <c r="I9" s="6"/>
      <c r="J9" s="6"/>
      <c r="K9" s="6"/>
      <c r="L9" s="6"/>
      <c r="M9" s="6"/>
      <c r="N9" s="6"/>
      <c r="O9" s="6"/>
    </row>
    <row r="10" spans="1:17" ht="24" customHeight="1" x14ac:dyDescent="0.35">
      <c r="A10" s="4"/>
      <c r="B10" s="124" t="s">
        <v>149</v>
      </c>
      <c r="C10" s="117"/>
      <c r="D10" s="117"/>
      <c r="E10" s="117"/>
      <c r="F10" s="117"/>
      <c r="G10" s="117"/>
      <c r="H10" s="118"/>
      <c r="I10" s="116" t="s">
        <v>150</v>
      </c>
      <c r="J10" s="117"/>
      <c r="K10" s="117"/>
      <c r="L10" s="117"/>
      <c r="M10" s="117"/>
      <c r="N10" s="117"/>
      <c r="O10" s="118"/>
    </row>
    <row r="11" spans="1:17" ht="24" customHeight="1" x14ac:dyDescent="0.35">
      <c r="A11" s="4"/>
      <c r="B11" s="120"/>
      <c r="C11" s="73"/>
      <c r="D11" s="73"/>
      <c r="E11" s="73"/>
      <c r="F11" s="73"/>
      <c r="G11" s="73"/>
      <c r="H11" s="107"/>
      <c r="I11" s="106" t="str">
        <f>IF($Q$2=0,"",INDEX('My Finances'!$E$324:$BL$324,1,$Q$2))</f>
        <v/>
      </c>
      <c r="J11" s="73"/>
      <c r="K11" s="73"/>
      <c r="L11" s="73"/>
      <c r="M11" s="73"/>
      <c r="N11" s="73"/>
      <c r="O11" s="107"/>
    </row>
    <row r="12" spans="1:17" ht="24" customHeight="1" x14ac:dyDescent="0.35">
      <c r="A12" s="4"/>
      <c r="B12" s="119" t="str">
        <f>IF($Q$2=0,"",INDEX('My Finances'!$E$326:$BL$326,1,$Q$2))</f>
        <v/>
      </c>
      <c r="C12" s="73"/>
      <c r="D12" s="73"/>
      <c r="E12" s="73"/>
      <c r="F12" s="73"/>
      <c r="G12" s="73"/>
      <c r="H12" s="107"/>
      <c r="I12" s="108"/>
      <c r="J12" s="109"/>
      <c r="K12" s="109"/>
      <c r="L12" s="109"/>
      <c r="M12" s="109"/>
      <c r="N12" s="109"/>
      <c r="O12" s="110"/>
    </row>
    <row r="13" spans="1:17" ht="24" customHeight="1" x14ac:dyDescent="0.35">
      <c r="A13" s="4"/>
      <c r="B13" s="120"/>
      <c r="C13" s="73"/>
      <c r="D13" s="73"/>
      <c r="E13" s="73"/>
      <c r="F13" s="73"/>
      <c r="G13" s="73"/>
      <c r="H13" s="107"/>
      <c r="I13" s="121" t="s">
        <v>151</v>
      </c>
      <c r="J13" s="117"/>
      <c r="K13" s="117"/>
      <c r="L13" s="118"/>
      <c r="M13" s="116" t="s">
        <v>152</v>
      </c>
      <c r="N13" s="117"/>
      <c r="O13" s="118"/>
    </row>
    <row r="14" spans="1:17" ht="24" customHeight="1" x14ac:dyDescent="0.35">
      <c r="A14" s="4"/>
      <c r="B14" s="120"/>
      <c r="C14" s="73"/>
      <c r="D14" s="73"/>
      <c r="E14" s="73"/>
      <c r="F14" s="73"/>
      <c r="G14" s="73"/>
      <c r="H14" s="107"/>
      <c r="I14" s="125" t="str">
        <f>IF($Q$2=0,"",INDEX('My Finances'!$E$325:$BL$325,1,$Q$2))</f>
        <v/>
      </c>
      <c r="J14" s="73"/>
      <c r="K14" s="73"/>
      <c r="L14" s="107"/>
      <c r="M14" s="126" t="str">
        <f>IF($Q$2=0,"",INDEX('My Finances'!$E$327:$BL$327,1,$Q$2))</f>
        <v/>
      </c>
      <c r="N14" s="73"/>
      <c r="O14" s="107"/>
    </row>
    <row r="15" spans="1:17" ht="24" customHeight="1" x14ac:dyDescent="0.35">
      <c r="A15" s="4"/>
      <c r="B15" s="108"/>
      <c r="C15" s="109"/>
      <c r="D15" s="109"/>
      <c r="E15" s="109"/>
      <c r="F15" s="109"/>
      <c r="G15" s="109"/>
      <c r="H15" s="110"/>
      <c r="I15" s="108"/>
      <c r="J15" s="109"/>
      <c r="K15" s="109"/>
      <c r="L15" s="110"/>
      <c r="M15" s="108"/>
      <c r="N15" s="109"/>
      <c r="O15" s="110"/>
    </row>
    <row r="16" spans="1:17" ht="5" customHeight="1" x14ac:dyDescent="0.35">
      <c r="A16" s="4"/>
      <c r="B16" s="6"/>
      <c r="C16" s="6"/>
      <c r="D16" s="6"/>
      <c r="E16" s="6"/>
      <c r="F16" s="6"/>
      <c r="G16" s="6"/>
      <c r="H16" s="6"/>
      <c r="I16" s="6"/>
      <c r="J16" s="6"/>
      <c r="K16" s="6"/>
      <c r="L16" s="6"/>
      <c r="M16" s="6"/>
      <c r="N16" s="6"/>
      <c r="O16" s="6"/>
    </row>
    <row r="17" spans="1:15" ht="5" customHeight="1" x14ac:dyDescent="0.35">
      <c r="A17" s="4"/>
      <c r="B17" s="6"/>
      <c r="C17" s="6"/>
      <c r="D17" s="6"/>
      <c r="E17" s="6"/>
      <c r="F17" s="6"/>
      <c r="G17" s="6"/>
      <c r="H17" s="6"/>
      <c r="I17" s="6"/>
      <c r="J17" s="6"/>
      <c r="K17" s="6"/>
      <c r="L17" s="6"/>
      <c r="M17" s="6"/>
      <c r="N17" s="6"/>
      <c r="O17" s="6"/>
    </row>
    <row r="18" spans="1:15" ht="5" customHeight="1" x14ac:dyDescent="0.35">
      <c r="A18" s="4"/>
      <c r="B18" s="6"/>
      <c r="C18" s="6"/>
      <c r="D18" s="6"/>
      <c r="E18" s="6"/>
      <c r="F18" s="6"/>
      <c r="G18" s="6"/>
      <c r="H18" s="6"/>
      <c r="I18" s="6"/>
      <c r="J18" s="6"/>
      <c r="K18" s="6"/>
      <c r="L18" s="6"/>
      <c r="M18" s="6"/>
      <c r="N18" s="6"/>
      <c r="O18" s="6"/>
    </row>
    <row r="19" spans="1:15" ht="29" customHeight="1" x14ac:dyDescent="0.35">
      <c r="A19" s="4"/>
      <c r="B19" s="111" t="s">
        <v>153</v>
      </c>
      <c r="C19" s="112"/>
      <c r="D19" s="112"/>
      <c r="E19" s="112"/>
      <c r="F19" s="112"/>
      <c r="G19" s="112"/>
      <c r="H19" s="112"/>
      <c r="I19" s="112"/>
      <c r="J19" s="112"/>
      <c r="K19" s="112"/>
      <c r="L19" s="112"/>
      <c r="M19" s="112"/>
      <c r="N19" s="112"/>
      <c r="O19" s="112"/>
    </row>
    <row r="20" spans="1:15" x14ac:dyDescent="0.35">
      <c r="A20" s="4"/>
      <c r="B20" s="38"/>
      <c r="C20" s="39"/>
      <c r="D20" s="39"/>
      <c r="E20" s="39"/>
      <c r="F20" s="39"/>
      <c r="G20" s="39"/>
      <c r="H20" s="39"/>
      <c r="I20" s="39"/>
      <c r="J20" s="39"/>
      <c r="K20" s="39"/>
      <c r="L20" s="39"/>
      <c r="M20" s="39"/>
      <c r="N20" s="39"/>
      <c r="O20" s="40"/>
    </row>
    <row r="21" spans="1:15" x14ac:dyDescent="0.35">
      <c r="A21" s="4"/>
      <c r="B21" s="41"/>
      <c r="C21" s="37"/>
      <c r="D21" s="37"/>
      <c r="E21" s="37"/>
      <c r="F21" s="37"/>
      <c r="G21" s="37"/>
      <c r="H21" s="37"/>
      <c r="I21" s="37"/>
      <c r="J21" s="37"/>
      <c r="K21" s="37"/>
      <c r="L21" s="37"/>
      <c r="M21" s="37"/>
      <c r="N21" s="37"/>
      <c r="O21" s="42"/>
    </row>
    <row r="22" spans="1:15" x14ac:dyDescent="0.35">
      <c r="A22" s="4"/>
      <c r="B22" s="41"/>
      <c r="C22" s="37"/>
      <c r="D22" s="37"/>
      <c r="E22" s="37"/>
      <c r="F22" s="37"/>
      <c r="G22" s="37"/>
      <c r="H22" s="37"/>
      <c r="I22" s="37"/>
      <c r="J22" s="37"/>
      <c r="K22" s="37"/>
      <c r="L22" s="37"/>
      <c r="M22" s="37"/>
      <c r="N22" s="37"/>
      <c r="O22" s="42"/>
    </row>
    <row r="23" spans="1:15" x14ac:dyDescent="0.35">
      <c r="A23" s="4"/>
      <c r="B23" s="41"/>
      <c r="C23" s="37"/>
      <c r="D23" s="37"/>
      <c r="E23" s="37"/>
      <c r="F23" s="37"/>
      <c r="G23" s="37"/>
      <c r="H23" s="37"/>
      <c r="I23" s="37"/>
      <c r="J23" s="37"/>
      <c r="K23" s="37"/>
      <c r="L23" s="37"/>
      <c r="M23" s="37"/>
      <c r="N23" s="37"/>
      <c r="O23" s="42"/>
    </row>
    <row r="24" spans="1:15" x14ac:dyDescent="0.35">
      <c r="A24" s="4"/>
      <c r="B24" s="41"/>
      <c r="C24" s="37"/>
      <c r="D24" s="37"/>
      <c r="E24" s="37"/>
      <c r="F24" s="37"/>
      <c r="G24" s="37"/>
      <c r="H24" s="37"/>
      <c r="I24" s="37"/>
      <c r="J24" s="37"/>
      <c r="K24" s="37"/>
      <c r="L24" s="37"/>
      <c r="M24" s="37"/>
      <c r="N24" s="37"/>
      <c r="O24" s="42"/>
    </row>
    <row r="25" spans="1:15" x14ac:dyDescent="0.35">
      <c r="A25" s="4"/>
      <c r="B25" s="41"/>
      <c r="C25" s="37"/>
      <c r="D25" s="37"/>
      <c r="E25" s="37"/>
      <c r="F25" s="37"/>
      <c r="G25" s="37"/>
      <c r="H25" s="37"/>
      <c r="I25" s="37"/>
      <c r="J25" s="37"/>
      <c r="K25" s="37"/>
      <c r="L25" s="37"/>
      <c r="M25" s="37"/>
      <c r="N25" s="37"/>
      <c r="O25" s="42"/>
    </row>
    <row r="26" spans="1:15" x14ac:dyDescent="0.35">
      <c r="A26" s="4"/>
      <c r="B26" s="41"/>
      <c r="C26" s="37"/>
      <c r="D26" s="37"/>
      <c r="E26" s="37"/>
      <c r="F26" s="37"/>
      <c r="G26" s="37"/>
      <c r="H26" s="37"/>
      <c r="I26" s="37"/>
      <c r="J26" s="37"/>
      <c r="K26" s="37"/>
      <c r="L26" s="37"/>
      <c r="M26" s="37"/>
      <c r="N26" s="37"/>
      <c r="O26" s="42"/>
    </row>
    <row r="27" spans="1:15" x14ac:dyDescent="0.35">
      <c r="A27" s="4"/>
      <c r="B27" s="41"/>
      <c r="C27" s="37"/>
      <c r="D27" s="37"/>
      <c r="E27" s="37"/>
      <c r="F27" s="37"/>
      <c r="G27" s="37"/>
      <c r="H27" s="37"/>
      <c r="I27" s="37"/>
      <c r="J27" s="37"/>
      <c r="K27" s="37"/>
      <c r="L27" s="37"/>
      <c r="M27" s="37"/>
      <c r="N27" s="37"/>
      <c r="O27" s="42"/>
    </row>
    <row r="28" spans="1:15" x14ac:dyDescent="0.35">
      <c r="A28" s="4"/>
      <c r="B28" s="41"/>
      <c r="C28" s="37"/>
      <c r="D28" s="37"/>
      <c r="E28" s="37"/>
      <c r="F28" s="37"/>
      <c r="G28" s="37"/>
      <c r="H28" s="37"/>
      <c r="I28" s="37"/>
      <c r="J28" s="37"/>
      <c r="K28" s="37"/>
      <c r="L28" s="37"/>
      <c r="M28" s="37"/>
      <c r="N28" s="37"/>
      <c r="O28" s="42"/>
    </row>
    <row r="29" spans="1:15" x14ac:dyDescent="0.35">
      <c r="A29" s="4"/>
      <c r="B29" s="41"/>
      <c r="C29" s="37"/>
      <c r="D29" s="37"/>
      <c r="E29" s="37"/>
      <c r="F29" s="37"/>
      <c r="G29" s="37"/>
      <c r="H29" s="37"/>
      <c r="I29" s="37"/>
      <c r="J29" s="37"/>
      <c r="K29" s="37"/>
      <c r="L29" s="37"/>
      <c r="M29" s="37"/>
      <c r="N29" s="37"/>
      <c r="O29" s="42"/>
    </row>
    <row r="30" spans="1:15" x14ac:dyDescent="0.35">
      <c r="A30" s="4"/>
      <c r="B30" s="41"/>
      <c r="C30" s="37"/>
      <c r="D30" s="37"/>
      <c r="E30" s="37"/>
      <c r="F30" s="37"/>
      <c r="G30" s="37"/>
      <c r="H30" s="37"/>
      <c r="I30" s="37"/>
      <c r="J30" s="37"/>
      <c r="K30" s="37"/>
      <c r="L30" s="37"/>
      <c r="M30" s="37"/>
      <c r="N30" s="37"/>
      <c r="O30" s="42"/>
    </row>
    <row r="31" spans="1:15" x14ac:dyDescent="0.35">
      <c r="A31" s="4"/>
      <c r="B31" s="41"/>
      <c r="C31" s="37"/>
      <c r="D31" s="37"/>
      <c r="E31" s="37"/>
      <c r="F31" s="37"/>
      <c r="G31" s="37"/>
      <c r="H31" s="37"/>
      <c r="I31" s="37"/>
      <c r="J31" s="37"/>
      <c r="K31" s="37"/>
      <c r="L31" s="37"/>
      <c r="M31" s="37"/>
      <c r="N31" s="37"/>
      <c r="O31" s="42"/>
    </row>
    <row r="32" spans="1:15" x14ac:dyDescent="0.35">
      <c r="A32" s="4"/>
      <c r="B32" s="41"/>
      <c r="C32" s="37"/>
      <c r="D32" s="37"/>
      <c r="E32" s="37"/>
      <c r="F32" s="37"/>
      <c r="G32" s="37"/>
      <c r="H32" s="37"/>
      <c r="I32" s="37"/>
      <c r="J32" s="37"/>
      <c r="K32" s="37"/>
      <c r="L32" s="37"/>
      <c r="M32" s="37"/>
      <c r="N32" s="37"/>
      <c r="O32" s="42"/>
    </row>
    <row r="33" spans="1:15" x14ac:dyDescent="0.35">
      <c r="A33" s="4"/>
      <c r="B33" s="41"/>
      <c r="C33" s="37"/>
      <c r="D33" s="37"/>
      <c r="E33" s="37"/>
      <c r="F33" s="37"/>
      <c r="G33" s="37"/>
      <c r="H33" s="37"/>
      <c r="I33" s="37"/>
      <c r="J33" s="37"/>
      <c r="K33" s="37"/>
      <c r="L33" s="37"/>
      <c r="M33" s="37"/>
      <c r="N33" s="37"/>
      <c r="O33" s="42"/>
    </row>
    <row r="34" spans="1:15" x14ac:dyDescent="0.35">
      <c r="A34" s="4"/>
      <c r="B34" s="41"/>
      <c r="C34" s="37"/>
      <c r="D34" s="37"/>
      <c r="E34" s="37"/>
      <c r="F34" s="37"/>
      <c r="G34" s="37"/>
      <c r="H34" s="37"/>
      <c r="I34" s="37"/>
      <c r="J34" s="37"/>
      <c r="K34" s="37"/>
      <c r="L34" s="37"/>
      <c r="M34" s="37"/>
      <c r="N34" s="37"/>
      <c r="O34" s="42"/>
    </row>
    <row r="35" spans="1:15" ht="5" customHeight="1" x14ac:dyDescent="0.35">
      <c r="A35" s="4"/>
      <c r="B35" s="41"/>
      <c r="C35" s="37"/>
      <c r="D35" s="37"/>
      <c r="E35" s="37"/>
      <c r="F35" s="37"/>
      <c r="G35" s="37"/>
      <c r="H35" s="37"/>
      <c r="I35" s="37"/>
      <c r="J35" s="37"/>
      <c r="K35" s="37"/>
      <c r="L35" s="37"/>
      <c r="M35" s="37"/>
      <c r="N35" s="37"/>
      <c r="O35" s="42"/>
    </row>
    <row r="36" spans="1:15" ht="5" customHeight="1" x14ac:dyDescent="0.35">
      <c r="A36" s="4"/>
      <c r="B36" s="41"/>
      <c r="C36" s="37"/>
      <c r="D36" s="37"/>
      <c r="E36" s="37"/>
      <c r="F36" s="37"/>
      <c r="G36" s="37"/>
      <c r="H36" s="37"/>
      <c r="I36" s="37"/>
      <c r="J36" s="37"/>
      <c r="K36" s="37"/>
      <c r="L36" s="37"/>
      <c r="M36" s="37"/>
      <c r="N36" s="37"/>
      <c r="O36" s="42"/>
    </row>
    <row r="37" spans="1:15" ht="5" customHeight="1" x14ac:dyDescent="0.35">
      <c r="A37" s="4"/>
      <c r="B37" s="43"/>
      <c r="C37" s="44"/>
      <c r="D37" s="44"/>
      <c r="E37" s="44"/>
      <c r="F37" s="44"/>
      <c r="G37" s="44"/>
      <c r="H37" s="44"/>
      <c r="I37" s="44"/>
      <c r="J37" s="44"/>
      <c r="K37" s="44"/>
      <c r="L37" s="44"/>
      <c r="M37" s="44"/>
      <c r="N37" s="44"/>
      <c r="O37" s="45"/>
    </row>
    <row r="38" spans="1:15" ht="5" customHeight="1" x14ac:dyDescent="0.35">
      <c r="A38" s="4"/>
      <c r="B38" s="6"/>
      <c r="C38" s="6"/>
      <c r="D38" s="6"/>
      <c r="E38" s="6"/>
      <c r="F38" s="6"/>
      <c r="G38" s="6"/>
      <c r="H38" s="6"/>
      <c r="I38" s="6"/>
      <c r="J38" s="6"/>
      <c r="K38" s="6"/>
      <c r="L38" s="6"/>
      <c r="M38" s="6"/>
      <c r="N38" s="6"/>
      <c r="O38" s="6"/>
    </row>
    <row r="39" spans="1:15" ht="29" customHeight="1" x14ac:dyDescent="0.35">
      <c r="A39" s="4"/>
      <c r="B39" s="111" t="s">
        <v>154</v>
      </c>
      <c r="C39" s="112"/>
      <c r="D39" s="112"/>
      <c r="E39" s="112"/>
      <c r="F39" s="112"/>
      <c r="G39" s="112"/>
      <c r="H39" s="112"/>
      <c r="I39" s="111" t="s">
        <v>155</v>
      </c>
      <c r="J39" s="112"/>
      <c r="K39" s="112"/>
      <c r="L39" s="112"/>
      <c r="M39" s="112"/>
      <c r="N39" s="112"/>
      <c r="O39" s="112"/>
    </row>
    <row r="40" spans="1:15" x14ac:dyDescent="0.35">
      <c r="A40" s="4"/>
      <c r="B40" s="46"/>
      <c r="C40" s="47"/>
      <c r="D40" s="47"/>
      <c r="E40" s="47"/>
      <c r="F40" s="47"/>
      <c r="G40" s="47"/>
      <c r="H40" s="48"/>
      <c r="I40" s="46"/>
      <c r="J40" s="47"/>
      <c r="K40" s="47"/>
      <c r="L40" s="47"/>
      <c r="M40" s="47"/>
      <c r="N40" s="47"/>
      <c r="O40" s="48"/>
    </row>
    <row r="41" spans="1:15" x14ac:dyDescent="0.35">
      <c r="A41" s="4"/>
      <c r="B41" s="49"/>
      <c r="C41" s="50"/>
      <c r="D41" s="50"/>
      <c r="E41" s="50"/>
      <c r="F41" s="50"/>
      <c r="G41" s="50"/>
      <c r="H41" s="51"/>
      <c r="I41" s="49"/>
      <c r="J41" s="50"/>
      <c r="K41" s="50"/>
      <c r="L41" s="50"/>
      <c r="M41" s="50"/>
      <c r="N41" s="50"/>
      <c r="O41" s="51"/>
    </row>
    <row r="42" spans="1:15" x14ac:dyDescent="0.35">
      <c r="A42" s="4"/>
      <c r="B42" s="49"/>
      <c r="C42" s="50"/>
      <c r="D42" s="50"/>
      <c r="E42" s="50"/>
      <c r="F42" s="50"/>
      <c r="G42" s="50"/>
      <c r="H42" s="51"/>
      <c r="I42" s="49"/>
      <c r="J42" s="50"/>
      <c r="K42" s="50"/>
      <c r="L42" s="50"/>
      <c r="M42" s="50"/>
      <c r="N42" s="50"/>
      <c r="O42" s="51"/>
    </row>
    <row r="43" spans="1:15" ht="26" customHeight="1" x14ac:dyDescent="0.35">
      <c r="A43" s="4"/>
      <c r="B43" s="49"/>
      <c r="C43" s="50"/>
      <c r="D43" s="50"/>
      <c r="E43" s="50"/>
      <c r="F43" s="50"/>
      <c r="G43" s="50"/>
      <c r="H43" s="51"/>
      <c r="I43" s="49"/>
      <c r="J43" s="50"/>
      <c r="K43" s="50"/>
      <c r="L43" s="50"/>
      <c r="M43" s="50"/>
      <c r="N43" s="50"/>
      <c r="O43" s="51"/>
    </row>
    <row r="44" spans="1:15" x14ac:dyDescent="0.35">
      <c r="A44" s="4"/>
      <c r="B44" s="49"/>
      <c r="C44" s="50"/>
      <c r="D44" s="50"/>
      <c r="E44" s="50"/>
      <c r="F44" s="50"/>
      <c r="G44" s="50"/>
      <c r="H44" s="51"/>
      <c r="I44" s="49"/>
      <c r="J44" s="50"/>
      <c r="K44" s="50"/>
      <c r="L44" s="50"/>
      <c r="M44" s="50"/>
      <c r="N44" s="50"/>
      <c r="O44" s="51"/>
    </row>
    <row r="45" spans="1:15" x14ac:dyDescent="0.35">
      <c r="A45" s="4"/>
      <c r="B45" s="49"/>
      <c r="C45" s="50"/>
      <c r="D45" s="50"/>
      <c r="E45" s="50"/>
      <c r="F45" s="50"/>
      <c r="G45" s="50"/>
      <c r="H45" s="51"/>
      <c r="I45" s="49"/>
      <c r="J45" s="50"/>
      <c r="K45" s="50"/>
      <c r="L45" s="50"/>
      <c r="M45" s="50"/>
      <c r="N45" s="50"/>
      <c r="O45" s="51"/>
    </row>
    <row r="46" spans="1:15" x14ac:dyDescent="0.35">
      <c r="A46" s="4"/>
      <c r="B46" s="49"/>
      <c r="C46" s="50"/>
      <c r="D46" s="50"/>
      <c r="E46" s="50"/>
      <c r="F46" s="50"/>
      <c r="G46" s="50"/>
      <c r="H46" s="51"/>
      <c r="I46" s="49"/>
      <c r="J46" s="50"/>
      <c r="K46" s="50"/>
      <c r="L46" s="50"/>
      <c r="M46" s="50"/>
      <c r="N46" s="50"/>
      <c r="O46" s="51"/>
    </row>
    <row r="47" spans="1:15" x14ac:dyDescent="0.35">
      <c r="A47" s="4"/>
      <c r="B47" s="49"/>
      <c r="C47" s="50"/>
      <c r="D47" s="50"/>
      <c r="E47" s="50"/>
      <c r="F47" s="50"/>
      <c r="G47" s="50"/>
      <c r="H47" s="51"/>
      <c r="I47" s="49"/>
      <c r="J47" s="50"/>
      <c r="K47" s="50"/>
      <c r="L47" s="50"/>
      <c r="M47" s="50"/>
      <c r="N47" s="50"/>
      <c r="O47" s="51"/>
    </row>
    <row r="48" spans="1:15" x14ac:dyDescent="0.35">
      <c r="A48" s="4"/>
      <c r="B48" s="49"/>
      <c r="C48" s="50"/>
      <c r="D48" s="50"/>
      <c r="E48" s="50"/>
      <c r="F48" s="50"/>
      <c r="G48" s="50"/>
      <c r="H48" s="51"/>
      <c r="I48" s="49"/>
      <c r="J48" s="50"/>
      <c r="K48" s="50"/>
      <c r="L48" s="50"/>
      <c r="M48" s="50"/>
      <c r="N48" s="50"/>
      <c r="O48" s="51"/>
    </row>
    <row r="49" spans="1:15" x14ac:dyDescent="0.35">
      <c r="A49" s="4"/>
      <c r="B49" s="49"/>
      <c r="C49" s="50"/>
      <c r="D49" s="50"/>
      <c r="E49" s="50"/>
      <c r="F49" s="50"/>
      <c r="G49" s="50"/>
      <c r="H49" s="51"/>
      <c r="I49" s="49"/>
      <c r="J49" s="50"/>
      <c r="K49" s="50"/>
      <c r="L49" s="50"/>
      <c r="M49" s="50"/>
      <c r="N49" s="50"/>
      <c r="O49" s="51"/>
    </row>
    <row r="50" spans="1:15" x14ac:dyDescent="0.35">
      <c r="A50" s="4"/>
      <c r="B50" s="49"/>
      <c r="C50" s="50"/>
      <c r="D50" s="50"/>
      <c r="E50" s="50"/>
      <c r="F50" s="50"/>
      <c r="G50" s="50"/>
      <c r="H50" s="51"/>
      <c r="I50" s="49"/>
      <c r="J50" s="50"/>
      <c r="K50" s="50"/>
      <c r="L50" s="50"/>
      <c r="M50" s="50"/>
      <c r="N50" s="50"/>
      <c r="O50" s="51"/>
    </row>
    <row r="51" spans="1:15" x14ac:dyDescent="0.35">
      <c r="A51" s="4"/>
      <c r="B51" s="49"/>
      <c r="C51" s="50"/>
      <c r="D51" s="50"/>
      <c r="E51" s="50"/>
      <c r="F51" s="50"/>
      <c r="G51" s="50"/>
      <c r="H51" s="51"/>
      <c r="I51" s="49"/>
      <c r="J51" s="50"/>
      <c r="K51" s="50"/>
      <c r="L51" s="50"/>
      <c r="M51" s="50"/>
      <c r="N51" s="50"/>
      <c r="O51" s="51"/>
    </row>
    <row r="52" spans="1:15" x14ac:dyDescent="0.35">
      <c r="A52" s="4"/>
      <c r="B52" s="49"/>
      <c r="C52" s="50"/>
      <c r="D52" s="50"/>
      <c r="E52" s="50"/>
      <c r="F52" s="50"/>
      <c r="G52" s="50"/>
      <c r="H52" s="51"/>
      <c r="I52" s="49"/>
      <c r="J52" s="50"/>
      <c r="K52" s="50"/>
      <c r="L52" s="50"/>
      <c r="M52" s="50"/>
      <c r="N52" s="50"/>
      <c r="O52" s="51"/>
    </row>
    <row r="53" spans="1:15" x14ac:dyDescent="0.35">
      <c r="A53" s="4"/>
      <c r="B53" s="49"/>
      <c r="C53" s="50"/>
      <c r="D53" s="50"/>
      <c r="E53" s="50"/>
      <c r="F53" s="50"/>
      <c r="G53" s="50"/>
      <c r="H53" s="51"/>
      <c r="I53" s="49"/>
      <c r="J53" s="50"/>
      <c r="K53" s="50"/>
      <c r="L53" s="50"/>
      <c r="M53" s="50"/>
      <c r="N53" s="50"/>
      <c r="O53" s="51"/>
    </row>
    <row r="54" spans="1:15" x14ac:dyDescent="0.35">
      <c r="A54" s="4"/>
      <c r="B54" s="49"/>
      <c r="C54" s="50"/>
      <c r="D54" s="50"/>
      <c r="E54" s="50"/>
      <c r="F54" s="50"/>
      <c r="G54" s="50"/>
      <c r="H54" s="51"/>
      <c r="I54" s="49"/>
      <c r="J54" s="50"/>
      <c r="K54" s="50"/>
      <c r="L54" s="50"/>
      <c r="M54" s="50"/>
      <c r="N54" s="50"/>
      <c r="O54" s="51"/>
    </row>
    <row r="55" spans="1:15" ht="5" customHeight="1" x14ac:dyDescent="0.35">
      <c r="A55" s="4"/>
      <c r="B55" s="49"/>
      <c r="C55" s="50"/>
      <c r="D55" s="50"/>
      <c r="E55" s="50"/>
      <c r="F55" s="50"/>
      <c r="G55" s="50"/>
      <c r="H55" s="51"/>
      <c r="I55" s="49"/>
      <c r="J55" s="50"/>
      <c r="K55" s="50"/>
      <c r="L55" s="50"/>
      <c r="M55" s="50"/>
      <c r="N55" s="50"/>
      <c r="O55" s="51"/>
    </row>
    <row r="56" spans="1:15" ht="5" customHeight="1" x14ac:dyDescent="0.35">
      <c r="A56" s="4"/>
      <c r="B56" s="49"/>
      <c r="C56" s="50"/>
      <c r="D56" s="50"/>
      <c r="E56" s="50"/>
      <c r="F56" s="50"/>
      <c r="G56" s="50"/>
      <c r="H56" s="51"/>
      <c r="I56" s="49"/>
      <c r="J56" s="50"/>
      <c r="K56" s="50"/>
      <c r="L56" s="50"/>
      <c r="M56" s="50"/>
      <c r="N56" s="50"/>
      <c r="O56" s="51"/>
    </row>
    <row r="57" spans="1:15" ht="5" customHeight="1" x14ac:dyDescent="0.35">
      <c r="A57" s="4"/>
      <c r="B57" s="49"/>
      <c r="C57" s="50"/>
      <c r="D57" s="50"/>
      <c r="E57" s="50"/>
      <c r="F57" s="50"/>
      <c r="G57" s="50"/>
      <c r="H57" s="51"/>
      <c r="I57" s="49"/>
      <c r="J57" s="50"/>
      <c r="K57" s="50"/>
      <c r="L57" s="50"/>
      <c r="M57" s="50"/>
      <c r="N57" s="50"/>
      <c r="O57" s="51"/>
    </row>
    <row r="58" spans="1:15" ht="5" customHeight="1" x14ac:dyDescent="0.35">
      <c r="A58" s="4"/>
      <c r="B58" s="52"/>
      <c r="C58" s="53"/>
      <c r="D58" s="53"/>
      <c r="E58" s="53"/>
      <c r="F58" s="53"/>
      <c r="G58" s="53"/>
      <c r="H58" s="54"/>
      <c r="I58" s="52"/>
      <c r="J58" s="53"/>
      <c r="K58" s="53"/>
      <c r="L58" s="53"/>
      <c r="M58" s="53"/>
      <c r="N58" s="53"/>
      <c r="O58" s="54"/>
    </row>
    <row r="59" spans="1:15" ht="5" customHeight="1" x14ac:dyDescent="0.35">
      <c r="A59" s="4"/>
      <c r="B59" s="8"/>
      <c r="C59" s="8"/>
      <c r="D59" s="8"/>
      <c r="E59" s="8"/>
      <c r="F59" s="8"/>
      <c r="G59" s="8"/>
      <c r="H59" s="8"/>
      <c r="I59" s="8"/>
      <c r="J59" s="8"/>
      <c r="K59" s="8"/>
      <c r="L59" s="8"/>
      <c r="M59" s="8"/>
      <c r="N59" s="8"/>
      <c r="O59" s="8"/>
    </row>
    <row r="60" spans="1:15" ht="29" customHeight="1" x14ac:dyDescent="0.35">
      <c r="A60" s="4"/>
      <c r="B60" s="111" t="s">
        <v>156</v>
      </c>
      <c r="C60" s="112"/>
      <c r="D60" s="112"/>
      <c r="E60" s="112"/>
      <c r="F60" s="112"/>
      <c r="G60" s="112"/>
      <c r="H60" s="112"/>
      <c r="I60" s="111" t="s">
        <v>157</v>
      </c>
      <c r="J60" s="112"/>
      <c r="K60" s="112"/>
      <c r="L60" s="112"/>
      <c r="M60" s="112"/>
      <c r="N60" s="112"/>
      <c r="O60" s="112"/>
    </row>
    <row r="61" spans="1:15" x14ac:dyDescent="0.35">
      <c r="A61" s="4"/>
      <c r="B61" s="46"/>
      <c r="C61" s="47"/>
      <c r="D61" s="47"/>
      <c r="E61" s="47"/>
      <c r="F61" s="47"/>
      <c r="G61" s="47"/>
      <c r="H61" s="48"/>
      <c r="I61" s="46"/>
      <c r="J61" s="47"/>
      <c r="K61" s="47"/>
      <c r="L61" s="47"/>
      <c r="M61" s="47"/>
      <c r="N61" s="47"/>
      <c r="O61" s="48"/>
    </row>
    <row r="62" spans="1:15" x14ac:dyDescent="0.35">
      <c r="A62" s="4"/>
      <c r="B62" s="49"/>
      <c r="C62" s="50"/>
      <c r="D62" s="50"/>
      <c r="E62" s="50"/>
      <c r="F62" s="50"/>
      <c r="G62" s="50"/>
      <c r="H62" s="51"/>
      <c r="I62" s="49"/>
      <c r="J62" s="50"/>
      <c r="K62" s="50"/>
      <c r="L62" s="50"/>
      <c r="M62" s="50"/>
      <c r="N62" s="50"/>
      <c r="O62" s="51"/>
    </row>
    <row r="63" spans="1:15" x14ac:dyDescent="0.35">
      <c r="A63" s="4"/>
      <c r="B63" s="49"/>
      <c r="C63" s="50"/>
      <c r="D63" s="50"/>
      <c r="E63" s="50"/>
      <c r="F63" s="50"/>
      <c r="G63" s="50"/>
      <c r="H63" s="51"/>
      <c r="I63" s="49"/>
      <c r="J63" s="50"/>
      <c r="K63" s="50"/>
      <c r="L63" s="50"/>
      <c r="M63" s="50"/>
      <c r="N63" s="50"/>
      <c r="O63" s="51"/>
    </row>
    <row r="64" spans="1:15" x14ac:dyDescent="0.35">
      <c r="A64" s="4"/>
      <c r="B64" s="49"/>
      <c r="C64" s="50"/>
      <c r="D64" s="50"/>
      <c r="E64" s="50"/>
      <c r="F64" s="50"/>
      <c r="G64" s="50"/>
      <c r="H64" s="51"/>
      <c r="I64" s="49"/>
      <c r="J64" s="50"/>
      <c r="K64" s="50"/>
      <c r="L64" s="50"/>
      <c r="M64" s="50"/>
      <c r="N64" s="50"/>
      <c r="O64" s="51"/>
    </row>
    <row r="65" spans="1:15" x14ac:dyDescent="0.35">
      <c r="A65" s="4"/>
      <c r="B65" s="49"/>
      <c r="C65" s="50"/>
      <c r="D65" s="50"/>
      <c r="E65" s="50"/>
      <c r="F65" s="50"/>
      <c r="G65" s="50"/>
      <c r="H65" s="51"/>
      <c r="I65" s="49"/>
      <c r="J65" s="50"/>
      <c r="K65" s="50"/>
      <c r="L65" s="50"/>
      <c r="M65" s="50"/>
      <c r="N65" s="50"/>
      <c r="O65" s="51"/>
    </row>
    <row r="66" spans="1:15" x14ac:dyDescent="0.35">
      <c r="A66" s="4"/>
      <c r="B66" s="49"/>
      <c r="C66" s="50"/>
      <c r="D66" s="50"/>
      <c r="E66" s="50"/>
      <c r="F66" s="50"/>
      <c r="G66" s="50"/>
      <c r="H66" s="51"/>
      <c r="I66" s="49"/>
      <c r="J66" s="50"/>
      <c r="K66" s="50"/>
      <c r="L66" s="50"/>
      <c r="M66" s="50"/>
      <c r="N66" s="50"/>
      <c r="O66" s="51"/>
    </row>
    <row r="67" spans="1:15" x14ac:dyDescent="0.35">
      <c r="A67" s="4"/>
      <c r="B67" s="49"/>
      <c r="C67" s="50"/>
      <c r="D67" s="50"/>
      <c r="E67" s="50"/>
      <c r="F67" s="50"/>
      <c r="G67" s="50"/>
      <c r="H67" s="51"/>
      <c r="I67" s="49"/>
      <c r="J67" s="50"/>
      <c r="K67" s="50"/>
      <c r="L67" s="50"/>
      <c r="M67" s="50"/>
      <c r="N67" s="50"/>
      <c r="O67" s="51"/>
    </row>
    <row r="68" spans="1:15" x14ac:dyDescent="0.35">
      <c r="A68" s="4"/>
      <c r="B68" s="49"/>
      <c r="C68" s="50"/>
      <c r="D68" s="50"/>
      <c r="E68" s="50"/>
      <c r="F68" s="50"/>
      <c r="G68" s="50"/>
      <c r="H68" s="51"/>
      <c r="I68" s="49"/>
      <c r="J68" s="50"/>
      <c r="K68" s="50"/>
      <c r="L68" s="50"/>
      <c r="M68" s="50"/>
      <c r="N68" s="50"/>
      <c r="O68" s="51"/>
    </row>
    <row r="69" spans="1:15" x14ac:dyDescent="0.35">
      <c r="A69" s="4"/>
      <c r="B69" s="49"/>
      <c r="C69" s="50"/>
      <c r="D69" s="50"/>
      <c r="E69" s="50"/>
      <c r="F69" s="50"/>
      <c r="G69" s="50"/>
      <c r="H69" s="51"/>
      <c r="I69" s="49"/>
      <c r="J69" s="50"/>
      <c r="K69" s="50"/>
      <c r="L69" s="50"/>
      <c r="M69" s="50"/>
      <c r="N69" s="50"/>
      <c r="O69" s="51"/>
    </row>
    <row r="70" spans="1:15" ht="26" customHeight="1" x14ac:dyDescent="0.35">
      <c r="A70" s="4"/>
      <c r="B70" s="49"/>
      <c r="C70" s="50"/>
      <c r="D70" s="50"/>
      <c r="E70" s="50"/>
      <c r="F70" s="50"/>
      <c r="G70" s="50"/>
      <c r="H70" s="51"/>
      <c r="I70" s="49"/>
      <c r="J70" s="50"/>
      <c r="K70" s="50"/>
      <c r="L70" s="50"/>
      <c r="M70" s="50"/>
      <c r="N70" s="50"/>
      <c r="O70" s="51"/>
    </row>
    <row r="71" spans="1:15" x14ac:dyDescent="0.35">
      <c r="A71" s="4"/>
      <c r="B71" s="49"/>
      <c r="C71" s="50"/>
      <c r="D71" s="50"/>
      <c r="E71" s="50"/>
      <c r="F71" s="50"/>
      <c r="G71" s="50"/>
      <c r="H71" s="51"/>
      <c r="I71" s="49"/>
      <c r="J71" s="50"/>
      <c r="K71" s="50"/>
      <c r="L71" s="50"/>
      <c r="M71" s="50"/>
      <c r="N71" s="50"/>
      <c r="O71" s="51"/>
    </row>
    <row r="72" spans="1:15" x14ac:dyDescent="0.35">
      <c r="A72" s="4"/>
      <c r="B72" s="49"/>
      <c r="C72" s="50"/>
      <c r="D72" s="50"/>
      <c r="E72" s="50"/>
      <c r="F72" s="50"/>
      <c r="G72" s="50"/>
      <c r="H72" s="51"/>
      <c r="I72" s="49"/>
      <c r="J72" s="50"/>
      <c r="K72" s="50"/>
      <c r="L72" s="50"/>
      <c r="M72" s="50"/>
      <c r="N72" s="50"/>
      <c r="O72" s="51"/>
    </row>
    <row r="73" spans="1:15" x14ac:dyDescent="0.35">
      <c r="A73" s="4"/>
      <c r="B73" s="49"/>
      <c r="C73" s="50"/>
      <c r="D73" s="50"/>
      <c r="E73" s="50"/>
      <c r="F73" s="50"/>
      <c r="G73" s="50"/>
      <c r="H73" s="51"/>
      <c r="I73" s="49"/>
      <c r="J73" s="50"/>
      <c r="K73" s="50"/>
      <c r="L73" s="50"/>
      <c r="M73" s="50"/>
      <c r="N73" s="50"/>
      <c r="O73" s="51"/>
    </row>
    <row r="74" spans="1:15" x14ac:dyDescent="0.35">
      <c r="A74" s="4"/>
      <c r="B74" s="49"/>
      <c r="C74" s="50"/>
      <c r="D74" s="50"/>
      <c r="E74" s="50"/>
      <c r="F74" s="50"/>
      <c r="G74" s="50"/>
      <c r="H74" s="51"/>
      <c r="I74" s="49"/>
      <c r="J74" s="50"/>
      <c r="K74" s="50"/>
      <c r="L74" s="50"/>
      <c r="M74" s="50"/>
      <c r="N74" s="50"/>
      <c r="O74" s="51"/>
    </row>
    <row r="75" spans="1:15" x14ac:dyDescent="0.35">
      <c r="A75" s="4"/>
      <c r="B75" s="55"/>
      <c r="C75" s="50"/>
      <c r="D75" s="50"/>
      <c r="E75" s="50"/>
      <c r="F75" s="56"/>
      <c r="G75" s="50"/>
      <c r="H75" s="51"/>
      <c r="I75" s="49"/>
      <c r="J75" s="56"/>
      <c r="K75" s="50"/>
      <c r="L75" s="50"/>
      <c r="M75" s="50"/>
      <c r="N75" s="50"/>
      <c r="O75" s="51"/>
    </row>
    <row r="76" spans="1:15" x14ac:dyDescent="0.35">
      <c r="A76" s="4"/>
      <c r="B76" s="49"/>
      <c r="C76" s="50"/>
      <c r="D76" s="50"/>
      <c r="E76" s="50"/>
      <c r="F76" s="50"/>
      <c r="G76" s="50"/>
      <c r="H76" s="51"/>
      <c r="I76" s="49"/>
      <c r="J76" s="50"/>
      <c r="K76" s="50"/>
      <c r="L76" s="50"/>
      <c r="M76" s="50"/>
      <c r="N76" s="50"/>
      <c r="O76" s="51"/>
    </row>
    <row r="77" spans="1:15" ht="5" customHeight="1" x14ac:dyDescent="0.35">
      <c r="A77" s="4"/>
      <c r="B77" s="49"/>
      <c r="C77" s="50"/>
      <c r="D77" s="50"/>
      <c r="E77" s="50"/>
      <c r="F77" s="50"/>
      <c r="G77" s="50"/>
      <c r="H77" s="51"/>
      <c r="I77" s="49"/>
      <c r="J77" s="50"/>
      <c r="K77" s="50"/>
      <c r="L77" s="50"/>
      <c r="M77" s="50"/>
      <c r="N77" s="50"/>
      <c r="O77" s="51"/>
    </row>
    <row r="78" spans="1:15" ht="5" customHeight="1" x14ac:dyDescent="0.35">
      <c r="A78" s="4"/>
      <c r="B78" s="49"/>
      <c r="C78" s="50"/>
      <c r="D78" s="50"/>
      <c r="E78" s="50"/>
      <c r="F78" s="50"/>
      <c r="G78" s="50"/>
      <c r="H78" s="51"/>
      <c r="I78" s="49"/>
      <c r="J78" s="50"/>
      <c r="K78" s="50"/>
      <c r="L78" s="50"/>
      <c r="M78" s="50"/>
      <c r="N78" s="50"/>
      <c r="O78" s="51"/>
    </row>
    <row r="79" spans="1:15" ht="5" customHeight="1" x14ac:dyDescent="0.35">
      <c r="A79" s="4"/>
      <c r="B79" s="52"/>
      <c r="C79" s="53"/>
      <c r="D79" s="53"/>
      <c r="E79" s="53"/>
      <c r="F79" s="53"/>
      <c r="G79" s="53"/>
      <c r="H79" s="54"/>
      <c r="I79" s="52"/>
      <c r="J79" s="53"/>
      <c r="K79" s="53"/>
      <c r="L79" s="53"/>
      <c r="M79" s="53"/>
      <c r="N79" s="53"/>
      <c r="O79" s="54"/>
    </row>
    <row r="80" spans="1:15" ht="21" customHeight="1" x14ac:dyDescent="0.35">
      <c r="A80" s="4"/>
      <c r="B80" s="127" t="s">
        <v>158</v>
      </c>
      <c r="C80" s="128"/>
      <c r="D80" s="128"/>
      <c r="E80" s="128"/>
      <c r="F80" s="128"/>
      <c r="G80" s="128"/>
      <c r="H80" s="128"/>
      <c r="I80" s="128"/>
      <c r="J80" s="128"/>
      <c r="K80" s="128"/>
      <c r="L80" s="128"/>
      <c r="M80" s="128"/>
      <c r="N80" s="128"/>
      <c r="O80" s="129"/>
    </row>
    <row r="81" spans="1:15" ht="18" customHeight="1" x14ac:dyDescent="0.35">
      <c r="A81" s="4"/>
      <c r="B81" s="130"/>
      <c r="C81" s="73"/>
      <c r="D81" s="73"/>
      <c r="E81" s="73"/>
      <c r="F81" s="73"/>
      <c r="G81" s="73"/>
      <c r="H81" s="73"/>
      <c r="I81" s="73"/>
      <c r="J81" s="73"/>
      <c r="K81" s="73"/>
      <c r="L81" s="73"/>
      <c r="M81" s="73"/>
      <c r="N81" s="73"/>
      <c r="O81" s="131"/>
    </row>
    <row r="82" spans="1:15" ht="18" customHeight="1" x14ac:dyDescent="0.35">
      <c r="A82" s="4"/>
      <c r="B82" s="132"/>
      <c r="C82" s="133"/>
      <c r="D82" s="133"/>
      <c r="E82" s="133"/>
      <c r="F82" s="133"/>
      <c r="G82" s="133"/>
      <c r="H82" s="133"/>
      <c r="I82" s="133"/>
      <c r="J82" s="133"/>
      <c r="K82" s="133"/>
      <c r="L82" s="133"/>
      <c r="M82" s="133"/>
      <c r="N82" s="133"/>
      <c r="O82" s="134"/>
    </row>
    <row r="83" spans="1:15" x14ac:dyDescent="0.35">
      <c r="A83" s="4"/>
      <c r="B83" s="5"/>
      <c r="C83" s="5"/>
      <c r="D83" s="5"/>
      <c r="E83" s="5"/>
      <c r="F83" s="5"/>
      <c r="G83" s="5"/>
      <c r="H83" s="5"/>
      <c r="I83" s="5"/>
      <c r="J83" s="5"/>
      <c r="K83" s="5"/>
      <c r="L83" s="5"/>
      <c r="M83" s="5"/>
      <c r="N83" s="5"/>
      <c r="O83" s="5"/>
    </row>
    <row r="84" spans="1:15" hidden="1" x14ac:dyDescent="0.35">
      <c r="A84" s="4"/>
      <c r="B84" s="5"/>
      <c r="C84" s="5"/>
      <c r="D84" s="5"/>
      <c r="E84" s="5"/>
      <c r="F84" s="5"/>
      <c r="G84" s="5"/>
      <c r="H84" s="5"/>
      <c r="I84" s="5"/>
      <c r="J84" s="5"/>
      <c r="K84" s="5"/>
      <c r="L84" s="5"/>
      <c r="M84" s="5"/>
      <c r="N84" s="5"/>
      <c r="O84" s="5"/>
    </row>
    <row r="85" spans="1:15" ht="16" hidden="1" customHeight="1" x14ac:dyDescent="0.35">
      <c r="A85" s="4"/>
      <c r="B85" s="5"/>
      <c r="C85" s="5"/>
      <c r="D85" s="5"/>
      <c r="E85" s="5"/>
      <c r="F85" s="5"/>
      <c r="G85" s="5"/>
      <c r="H85" s="5"/>
      <c r="I85" s="5"/>
      <c r="J85" s="5"/>
      <c r="K85" s="5"/>
      <c r="L85" s="5"/>
      <c r="M85" s="5"/>
      <c r="N85" s="5"/>
      <c r="O85" s="5"/>
    </row>
    <row r="86" spans="1:15" ht="16" hidden="1" customHeight="1" x14ac:dyDescent="0.35">
      <c r="A86" s="4"/>
      <c r="B86" s="5"/>
      <c r="C86" s="5"/>
      <c r="D86" s="5"/>
      <c r="E86" s="5"/>
      <c r="F86" s="5"/>
      <c r="G86" s="5"/>
      <c r="H86" s="5"/>
      <c r="I86" s="5"/>
      <c r="J86" s="5"/>
      <c r="K86" s="5"/>
      <c r="L86" s="5"/>
      <c r="M86" s="5"/>
      <c r="N86" s="5"/>
      <c r="O86" s="5"/>
    </row>
    <row r="87" spans="1:15" ht="16" hidden="1" customHeight="1" x14ac:dyDescent="0.35">
      <c r="A87" s="4"/>
      <c r="B87" s="5"/>
      <c r="C87" s="5"/>
      <c r="D87" s="5"/>
      <c r="E87" s="5"/>
      <c r="F87" s="5"/>
      <c r="G87" s="5"/>
      <c r="H87" s="5"/>
      <c r="I87" s="5"/>
      <c r="J87" s="5"/>
      <c r="K87" s="5"/>
      <c r="L87" s="5"/>
      <c r="M87" s="5"/>
      <c r="N87" s="5"/>
      <c r="O87" s="5"/>
    </row>
    <row r="88" spans="1:15" ht="16" hidden="1" customHeight="1" x14ac:dyDescent="0.35">
      <c r="A88" s="4"/>
      <c r="B88" s="5"/>
      <c r="C88" s="5"/>
      <c r="D88" s="5"/>
      <c r="E88" s="5"/>
      <c r="F88" s="5"/>
      <c r="G88" s="5"/>
      <c r="H88" s="5"/>
      <c r="I88" s="5"/>
      <c r="J88" s="5"/>
      <c r="K88" s="5"/>
      <c r="L88" s="5"/>
      <c r="M88" s="5"/>
      <c r="N88" s="5"/>
      <c r="O88" s="5"/>
    </row>
    <row r="89" spans="1:15" ht="16" hidden="1" customHeight="1" x14ac:dyDescent="0.35">
      <c r="A89" s="4"/>
      <c r="B89" s="5"/>
      <c r="C89" s="5"/>
      <c r="D89" s="5"/>
      <c r="E89" s="5"/>
      <c r="F89" s="5"/>
      <c r="G89" s="5"/>
      <c r="H89" s="5"/>
      <c r="I89" s="5"/>
      <c r="J89" s="5"/>
      <c r="K89" s="5"/>
      <c r="L89" s="5"/>
      <c r="M89" s="5"/>
      <c r="N89" s="5"/>
      <c r="O89" s="5"/>
    </row>
    <row r="90" spans="1:15" ht="16" hidden="1" customHeight="1" x14ac:dyDescent="0.35">
      <c r="A90" s="4"/>
      <c r="B90" s="5"/>
      <c r="C90" s="5"/>
      <c r="D90" s="5"/>
      <c r="E90" s="5"/>
      <c r="F90" s="5"/>
      <c r="G90" s="5"/>
      <c r="H90" s="5"/>
      <c r="I90" s="5"/>
      <c r="J90" s="5"/>
      <c r="K90" s="5"/>
      <c r="L90" s="5"/>
      <c r="M90" s="5"/>
      <c r="N90" s="5"/>
      <c r="O90" s="5"/>
    </row>
    <row r="91" spans="1:15" ht="16" hidden="1" customHeight="1" x14ac:dyDescent="0.35">
      <c r="A91" s="4"/>
      <c r="B91" s="5"/>
      <c r="C91" s="5"/>
      <c r="D91" s="5"/>
      <c r="E91" s="5"/>
      <c r="F91" s="5"/>
      <c r="G91" s="5"/>
      <c r="H91" s="5"/>
      <c r="I91" s="5"/>
      <c r="J91" s="5"/>
      <c r="K91" s="5"/>
      <c r="L91" s="5"/>
      <c r="M91" s="5"/>
      <c r="N91" s="5"/>
      <c r="O91" s="5"/>
    </row>
    <row r="92" spans="1:15" ht="16" hidden="1" customHeight="1" x14ac:dyDescent="0.35">
      <c r="A92" s="4"/>
      <c r="B92" s="5"/>
      <c r="C92" s="5"/>
      <c r="D92" s="5"/>
      <c r="E92" s="5"/>
      <c r="F92" s="5"/>
      <c r="G92" s="5"/>
      <c r="H92" s="5"/>
      <c r="I92" s="5"/>
      <c r="J92" s="5"/>
      <c r="K92" s="5"/>
      <c r="L92" s="5"/>
      <c r="M92" s="5"/>
      <c r="N92" s="5"/>
      <c r="O92" s="5"/>
    </row>
    <row r="93" spans="1:15" ht="16" hidden="1" customHeight="1" x14ac:dyDescent="0.35">
      <c r="A93" s="4"/>
      <c r="B93" s="5"/>
      <c r="C93" s="5"/>
      <c r="D93" s="5"/>
      <c r="E93" s="5"/>
      <c r="F93" s="5"/>
      <c r="G93" s="5"/>
      <c r="H93" s="5"/>
      <c r="I93" s="5"/>
      <c r="J93" s="5"/>
      <c r="K93" s="5"/>
      <c r="L93" s="5"/>
      <c r="M93" s="5"/>
      <c r="N93" s="5"/>
      <c r="O93" s="5"/>
    </row>
    <row r="94" spans="1:15" ht="16" hidden="1" customHeight="1" x14ac:dyDescent="0.35">
      <c r="A94" s="4"/>
      <c r="B94" s="5"/>
      <c r="C94" s="5"/>
      <c r="D94" s="5"/>
      <c r="E94" s="5"/>
      <c r="F94" s="5"/>
      <c r="G94" s="5"/>
      <c r="H94" s="5"/>
      <c r="I94" s="5"/>
      <c r="J94" s="5"/>
      <c r="K94" s="5"/>
      <c r="L94" s="5"/>
      <c r="M94" s="5"/>
      <c r="N94" s="5"/>
      <c r="O94" s="5"/>
    </row>
    <row r="95" spans="1:15" ht="16" hidden="1" customHeight="1" x14ac:dyDescent="0.35">
      <c r="A95" s="4"/>
      <c r="B95" s="5"/>
      <c r="C95" s="5"/>
      <c r="D95" s="5"/>
      <c r="E95" s="5"/>
      <c r="F95" s="5"/>
      <c r="G95" s="5"/>
      <c r="H95" s="5"/>
      <c r="I95" s="5"/>
      <c r="J95" s="5"/>
      <c r="K95" s="5"/>
      <c r="L95" s="5"/>
      <c r="M95" s="5"/>
      <c r="N95" s="5"/>
      <c r="O95" s="5"/>
    </row>
    <row r="96" spans="1:15" ht="16" hidden="1" customHeight="1" x14ac:dyDescent="0.35">
      <c r="A96" s="4"/>
      <c r="B96" s="5"/>
      <c r="C96" s="5"/>
      <c r="D96" s="5"/>
      <c r="E96" s="5"/>
      <c r="F96" s="5"/>
      <c r="G96" s="5"/>
      <c r="H96" s="5"/>
      <c r="I96" s="5"/>
      <c r="J96" s="5"/>
      <c r="K96" s="5"/>
      <c r="L96" s="5"/>
      <c r="M96" s="5"/>
      <c r="N96" s="5"/>
      <c r="O96" s="5"/>
    </row>
    <row r="97" spans="1:15" ht="16" hidden="1" customHeight="1" x14ac:dyDescent="0.35">
      <c r="A97" s="4"/>
      <c r="B97" s="5"/>
      <c r="C97" s="5"/>
      <c r="D97" s="5"/>
      <c r="E97" s="5"/>
      <c r="F97" s="5"/>
      <c r="G97" s="5"/>
      <c r="H97" s="5"/>
      <c r="I97" s="5"/>
      <c r="J97" s="5"/>
      <c r="K97" s="5"/>
      <c r="L97" s="5"/>
      <c r="M97" s="5"/>
      <c r="N97" s="5"/>
      <c r="O97" s="5"/>
    </row>
    <row r="98" spans="1:15" ht="16" hidden="1" customHeight="1" x14ac:dyDescent="0.35">
      <c r="A98" s="4"/>
      <c r="B98" s="5"/>
      <c r="C98" s="5"/>
      <c r="D98" s="5"/>
      <c r="E98" s="5"/>
      <c r="F98" s="5"/>
      <c r="G98" s="5"/>
      <c r="H98" s="5"/>
      <c r="I98" s="5"/>
      <c r="J98" s="5"/>
      <c r="K98" s="5"/>
      <c r="L98" s="5"/>
      <c r="M98" s="5"/>
      <c r="N98" s="5"/>
      <c r="O98" s="5"/>
    </row>
    <row r="99" spans="1:15" ht="16" hidden="1" customHeight="1" x14ac:dyDescent="0.35">
      <c r="A99" s="4"/>
      <c r="B99" s="5"/>
      <c r="C99" s="5"/>
      <c r="D99" s="5"/>
      <c r="E99" s="5"/>
      <c r="F99" s="5"/>
      <c r="G99" s="5"/>
      <c r="H99" s="5"/>
      <c r="I99" s="5"/>
      <c r="J99" s="5"/>
      <c r="K99" s="5"/>
      <c r="L99" s="5"/>
      <c r="M99" s="5"/>
      <c r="N99" s="5"/>
      <c r="O99" s="5"/>
    </row>
    <row r="100" spans="1:15" ht="16" hidden="1" customHeight="1" x14ac:dyDescent="0.35">
      <c r="A100" s="4"/>
      <c r="B100" s="5"/>
      <c r="C100" s="5"/>
      <c r="D100" s="5"/>
      <c r="E100" s="5"/>
      <c r="F100" s="5"/>
      <c r="G100" s="5"/>
      <c r="H100" s="5"/>
      <c r="I100" s="5"/>
      <c r="J100" s="5"/>
      <c r="K100" s="5"/>
      <c r="L100" s="5"/>
      <c r="M100" s="5"/>
      <c r="N100" s="5"/>
      <c r="O100" s="5"/>
    </row>
    <row r="101" spans="1:15" ht="16" hidden="1" customHeight="1" x14ac:dyDescent="0.35">
      <c r="A101" s="4"/>
      <c r="B101" s="5"/>
      <c r="C101" s="5"/>
      <c r="D101" s="5"/>
      <c r="E101" s="5"/>
      <c r="F101" s="5"/>
      <c r="G101" s="5"/>
      <c r="H101" s="5"/>
      <c r="I101" s="5"/>
      <c r="J101" s="5"/>
      <c r="K101" s="5"/>
      <c r="L101" s="5"/>
      <c r="M101" s="5"/>
      <c r="N101" s="5"/>
      <c r="O101" s="5"/>
    </row>
    <row r="102" spans="1:15" ht="16" hidden="1" customHeight="1" x14ac:dyDescent="0.35">
      <c r="A102" s="4"/>
      <c r="B102" s="5"/>
      <c r="C102" s="5"/>
      <c r="D102" s="5"/>
      <c r="E102" s="5"/>
      <c r="F102" s="5"/>
      <c r="G102" s="5"/>
      <c r="H102" s="5"/>
      <c r="I102" s="5"/>
      <c r="J102" s="5"/>
      <c r="K102" s="5"/>
      <c r="L102" s="5"/>
      <c r="M102" s="5"/>
      <c r="N102" s="5"/>
      <c r="O102" s="5"/>
    </row>
    <row r="103" spans="1:15" ht="16" hidden="1" customHeight="1" x14ac:dyDescent="0.35">
      <c r="A103" s="4"/>
      <c r="B103" s="5"/>
      <c r="C103" s="5"/>
      <c r="D103" s="5"/>
      <c r="E103" s="5"/>
      <c r="F103" s="5"/>
      <c r="G103" s="5"/>
      <c r="H103" s="5"/>
      <c r="I103" s="5"/>
      <c r="J103" s="5"/>
      <c r="K103" s="5"/>
      <c r="L103" s="5"/>
      <c r="M103" s="5"/>
      <c r="N103" s="5"/>
      <c r="O103" s="5"/>
    </row>
    <row r="104" spans="1:15" ht="16" hidden="1" customHeight="1" x14ac:dyDescent="0.35">
      <c r="A104" s="4"/>
      <c r="B104" s="5"/>
      <c r="C104" s="5"/>
      <c r="D104" s="5"/>
      <c r="E104" s="5"/>
      <c r="F104" s="5"/>
      <c r="G104" s="5"/>
      <c r="H104" s="5"/>
      <c r="I104" s="5"/>
      <c r="J104" s="5"/>
      <c r="K104" s="5"/>
      <c r="L104" s="5"/>
      <c r="M104" s="5"/>
      <c r="N104" s="5"/>
      <c r="O104" s="5"/>
    </row>
    <row r="105" spans="1:15" ht="16" hidden="1" customHeight="1" x14ac:dyDescent="0.35">
      <c r="A105" s="4"/>
      <c r="B105" s="5"/>
      <c r="C105" s="5"/>
      <c r="D105" s="5"/>
      <c r="E105" s="5"/>
      <c r="F105" s="5"/>
      <c r="G105" s="5"/>
      <c r="H105" s="5"/>
      <c r="I105" s="5"/>
      <c r="J105" s="5"/>
      <c r="K105" s="5"/>
      <c r="L105" s="5"/>
      <c r="M105" s="5"/>
      <c r="N105" s="5"/>
      <c r="O105" s="5"/>
    </row>
    <row r="106" spans="1:15" ht="16" hidden="1" customHeight="1" x14ac:dyDescent="0.35">
      <c r="A106" s="4"/>
      <c r="B106" s="5"/>
      <c r="C106" s="5"/>
      <c r="D106" s="5"/>
      <c r="E106" s="5"/>
      <c r="F106" s="5"/>
      <c r="G106" s="5"/>
      <c r="H106" s="5"/>
      <c r="I106" s="5"/>
      <c r="J106" s="5"/>
      <c r="K106" s="5"/>
      <c r="L106" s="5"/>
      <c r="M106" s="5"/>
      <c r="N106" s="5"/>
      <c r="O106" s="5"/>
    </row>
    <row r="107" spans="1:15" ht="16" hidden="1" customHeight="1" x14ac:dyDescent="0.35">
      <c r="A107" s="4"/>
      <c r="B107" s="5"/>
      <c r="C107" s="5"/>
      <c r="D107" s="5"/>
      <c r="E107" s="5"/>
      <c r="F107" s="5"/>
      <c r="G107" s="5"/>
      <c r="H107" s="5"/>
      <c r="I107" s="5"/>
      <c r="J107" s="5"/>
      <c r="K107" s="5"/>
      <c r="L107" s="5"/>
      <c r="M107" s="5"/>
      <c r="N107" s="5"/>
      <c r="O107" s="5"/>
    </row>
    <row r="108" spans="1:15" ht="16" hidden="1" customHeight="1" x14ac:dyDescent="0.35">
      <c r="A108" s="4"/>
      <c r="B108" s="5"/>
      <c r="C108" s="5"/>
      <c r="D108" s="5"/>
      <c r="E108" s="5"/>
      <c r="F108" s="5"/>
      <c r="G108" s="5"/>
      <c r="H108" s="5"/>
      <c r="I108" s="5"/>
      <c r="J108" s="5"/>
      <c r="K108" s="5"/>
      <c r="L108" s="5"/>
      <c r="M108" s="5"/>
      <c r="N108" s="5"/>
      <c r="O108" s="5"/>
    </row>
    <row r="109" spans="1:15" ht="16" hidden="1" customHeight="1" x14ac:dyDescent="0.35">
      <c r="A109" s="4"/>
      <c r="B109" s="5"/>
      <c r="C109" s="5"/>
      <c r="D109" s="5"/>
      <c r="E109" s="5"/>
      <c r="F109" s="5"/>
      <c r="G109" s="5"/>
      <c r="H109" s="5"/>
      <c r="I109" s="5"/>
      <c r="J109" s="5"/>
      <c r="K109" s="5"/>
      <c r="L109" s="5"/>
      <c r="M109" s="5"/>
      <c r="N109" s="5"/>
      <c r="O109" s="5"/>
    </row>
    <row r="110" spans="1:15" ht="16" hidden="1" customHeight="1" x14ac:dyDescent="0.35">
      <c r="A110" s="4"/>
      <c r="B110" s="5"/>
      <c r="C110" s="5"/>
      <c r="D110" s="5"/>
      <c r="E110" s="5"/>
      <c r="F110" s="5"/>
      <c r="G110" s="5"/>
      <c r="H110" s="5"/>
      <c r="I110" s="5"/>
      <c r="J110" s="5"/>
      <c r="K110" s="5"/>
      <c r="L110" s="5"/>
      <c r="M110" s="5"/>
      <c r="N110" s="5"/>
      <c r="O110" s="5"/>
    </row>
  </sheetData>
  <mergeCells count="19">
    <mergeCell ref="B5:O5"/>
    <mergeCell ref="B80:O82"/>
    <mergeCell ref="B12:H15"/>
    <mergeCell ref="I10:O10"/>
    <mergeCell ref="I13:L13"/>
    <mergeCell ref="I60:O60"/>
    <mergeCell ref="B7:K7"/>
    <mergeCell ref="M8:O8"/>
    <mergeCell ref="B10:H11"/>
    <mergeCell ref="I14:L15"/>
    <mergeCell ref="B39:H39"/>
    <mergeCell ref="B19:O19"/>
    <mergeCell ref="B60:H60"/>
    <mergeCell ref="M14:O15"/>
    <mergeCell ref="I11:O12"/>
    <mergeCell ref="I39:O39"/>
    <mergeCell ref="L7:M7"/>
    <mergeCell ref="N7:O7"/>
    <mergeCell ref="M13:O13"/>
  </mergeCells>
  <conditionalFormatting sqref="B7:K7">
    <cfRule type="expression" dxfId="0" priority="1">
      <formula>$Q$4&gt;$Q$2</formula>
    </cfRule>
  </conditionalFormatting>
  <printOptions horizontalCentered="1"/>
  <pageMargins left="0.25" right="0.25" top="0.38" bottom="0.38" header="0.15" footer="0.15"/>
  <pageSetup fitToHeight="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Start Here</vt:lpstr>
      <vt:lpstr>My Finances</vt:lpstr>
      <vt:lpstr>Dashboard</vt:lpstr>
      <vt:lpstr>Dashboard!Print_Area</vt:lpstr>
      <vt:lpstr>'My Finances'!Print_Area</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Net Worth Tracker - Egypt - en</dc:title>
  <dc:subject>Personal net worth</dc:subject>
  <dc:creator>Money with Helmy</dc:creator>
  <dc:description>Five-year educational net worth tracker. Fictional examples; not personalized advice.</dc:description>
  <cp:lastModifiedBy>Money with Helmy</cp:lastModifiedBy>
  <dcterms:created xsi:type="dcterms:W3CDTF">2026-10-30T15:18:33Z</dcterms:created>
  <dcterms:modified xsi:type="dcterms:W3CDTF">2026-11-02T03:37:45Z</dcterms:modified>
</cp:coreProperties>
</file>